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V 29\"/>
    </mc:Choice>
  </mc:AlternateContent>
  <xr:revisionPtr revIDLastSave="438" documentId="8_{EA0AC795-9CC9-4D6E-ACAC-283A1F5C5B16}" xr6:coauthVersionLast="41" xr6:coauthVersionMax="41" xr10:uidLastSave="{AAFC1152-32C3-42E9-AEE6-3DC51738514F}"/>
  <bookViews>
    <workbookView xWindow="-120" yWindow="-120" windowWidth="29040" windowHeight="15840" xr2:uid="{00000000-000D-0000-FFFF-FFFF00000000}"/>
  </bookViews>
  <sheets>
    <sheet name="PLAN 2019 - 2. Rebalans" sheetId="2" r:id="rId1"/>
  </sheets>
  <definedNames>
    <definedName name="_FiltarBaze" localSheetId="0" hidden="1">'PLAN 2019 - 2. Rebalans'!$A$4:$O$271</definedName>
    <definedName name="_xlnm._FilterDatabase" localSheetId="0" hidden="1">'PLAN 2019 - 2. Rebalans'!$O$4:$O$271</definedName>
    <definedName name="_xlnm.Print_Titles" localSheetId="0">'PLAN 2019 - 2. Rebalans'!$4:$4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2" l="1"/>
  <c r="N218" i="2" l="1"/>
  <c r="N217" i="2"/>
  <c r="N95" i="2"/>
  <c r="N93" i="2"/>
  <c r="L14" i="2" l="1"/>
  <c r="N255" i="2" l="1"/>
  <c r="I230" i="2"/>
  <c r="I228" i="2"/>
  <c r="N226" i="2"/>
  <c r="I225" i="2"/>
  <c r="J223" i="2"/>
  <c r="K223" i="2"/>
  <c r="I223" i="2"/>
  <c r="J216" i="2"/>
  <c r="J215" i="2" s="1"/>
  <c r="K216" i="2"/>
  <c r="K215" i="2" s="1"/>
  <c r="I216" i="2"/>
  <c r="I215" i="2" s="1"/>
  <c r="N211" i="2"/>
  <c r="N151" i="2"/>
  <c r="J268" i="2"/>
  <c r="K268" i="2"/>
  <c r="I268" i="2"/>
  <c r="J264" i="2"/>
  <c r="K264" i="2"/>
  <c r="I264" i="2"/>
  <c r="J260" i="2"/>
  <c r="K260" i="2"/>
  <c r="J256" i="2"/>
  <c r="K256" i="2"/>
  <c r="I256" i="2"/>
  <c r="J232" i="2"/>
  <c r="K232" i="2"/>
  <c r="J230" i="2"/>
  <c r="K230" i="2"/>
  <c r="J228" i="2"/>
  <c r="K228" i="2"/>
  <c r="J225" i="2"/>
  <c r="K225" i="2"/>
  <c r="J212" i="2"/>
  <c r="K212" i="2"/>
  <c r="I212" i="2"/>
  <c r="J206" i="2"/>
  <c r="J205" i="2" s="1"/>
  <c r="K206" i="2"/>
  <c r="K205" i="2" s="1"/>
  <c r="J176" i="2"/>
  <c r="J165" i="2" s="1"/>
  <c r="K176" i="2"/>
  <c r="K165" i="2" s="1"/>
  <c r="J162" i="2"/>
  <c r="K162" i="2"/>
  <c r="I162" i="2"/>
  <c r="J156" i="2"/>
  <c r="K156" i="2"/>
  <c r="I157" i="2"/>
  <c r="I156" i="2" s="1"/>
  <c r="J153" i="2"/>
  <c r="K153" i="2"/>
  <c r="I153" i="2"/>
  <c r="J150" i="2"/>
  <c r="K150" i="2"/>
  <c r="I150" i="2"/>
  <c r="J148" i="2"/>
  <c r="K148" i="2"/>
  <c r="I148" i="2"/>
  <c r="I141" i="2"/>
  <c r="J134" i="2"/>
  <c r="K134" i="2"/>
  <c r="I134" i="2"/>
  <c r="J128" i="2"/>
  <c r="K128" i="2"/>
  <c r="I128" i="2"/>
  <c r="J126" i="2"/>
  <c r="K126" i="2"/>
  <c r="I126" i="2"/>
  <c r="J123" i="2"/>
  <c r="K123" i="2"/>
  <c r="I123" i="2"/>
  <c r="J118" i="2"/>
  <c r="K118" i="2"/>
  <c r="I118" i="2"/>
  <c r="J113" i="2"/>
  <c r="K113" i="2"/>
  <c r="J106" i="2"/>
  <c r="K106" i="2"/>
  <c r="I106" i="2"/>
  <c r="J99" i="2"/>
  <c r="K99" i="2"/>
  <c r="I99" i="2"/>
  <c r="I91" i="2"/>
  <c r="J70" i="2"/>
  <c r="K70" i="2"/>
  <c r="I70" i="2"/>
  <c r="J63" i="2"/>
  <c r="K63" i="2"/>
  <c r="I63" i="2"/>
  <c r="J51" i="2"/>
  <c r="K51" i="2"/>
  <c r="I51" i="2"/>
  <c r="J48" i="2"/>
  <c r="K48" i="2"/>
  <c r="I48" i="2"/>
  <c r="J36" i="2"/>
  <c r="K36" i="2"/>
  <c r="I36" i="2"/>
  <c r="J31" i="2"/>
  <c r="K31" i="2"/>
  <c r="J13" i="2"/>
  <c r="I13" i="2"/>
  <c r="J9" i="2"/>
  <c r="K9" i="2"/>
  <c r="J5" i="2"/>
  <c r="K5" i="2"/>
  <c r="I5" i="2"/>
  <c r="L224" i="2"/>
  <c r="N224" i="2" s="1"/>
  <c r="L270" i="2"/>
  <c r="L269" i="2"/>
  <c r="L266" i="2"/>
  <c r="N266" i="2" s="1"/>
  <c r="L265" i="2"/>
  <c r="L263" i="2"/>
  <c r="N263" i="2" s="1"/>
  <c r="L262" i="2"/>
  <c r="N262" i="2" s="1"/>
  <c r="L259" i="2"/>
  <c r="N259" i="2" s="1"/>
  <c r="L258" i="2"/>
  <c r="L257" i="2"/>
  <c r="L254" i="2"/>
  <c r="N254" i="2" s="1"/>
  <c r="L253" i="2"/>
  <c r="N253" i="2" s="1"/>
  <c r="L252" i="2"/>
  <c r="L251" i="2"/>
  <c r="N251" i="2" s="1"/>
  <c r="L250" i="2"/>
  <c r="N250" i="2" s="1"/>
  <c r="L246" i="2"/>
  <c r="N246" i="2" s="1"/>
  <c r="L245" i="2"/>
  <c r="N245" i="2" s="1"/>
  <c r="L244" i="2"/>
  <c r="L243" i="2"/>
  <c r="N243" i="2" s="1"/>
  <c r="L241" i="2"/>
  <c r="L240" i="2"/>
  <c r="L237" i="2"/>
  <c r="N237" i="2" s="1"/>
  <c r="L236" i="2"/>
  <c r="N236" i="2" s="1"/>
  <c r="L235" i="2"/>
  <c r="N235" i="2" s="1"/>
  <c r="L234" i="2"/>
  <c r="N234" i="2" s="1"/>
  <c r="L231" i="2"/>
  <c r="L230" i="2" s="1"/>
  <c r="L229" i="2"/>
  <c r="L228" i="2" s="1"/>
  <c r="L226" i="2"/>
  <c r="L225" i="2" s="1"/>
  <c r="L221" i="2"/>
  <c r="N221" i="2" s="1"/>
  <c r="L220" i="2"/>
  <c r="N220" i="2" s="1"/>
  <c r="L219" i="2"/>
  <c r="N219" i="2" s="1"/>
  <c r="L218" i="2"/>
  <c r="L217" i="2"/>
  <c r="L214" i="2"/>
  <c r="N214" i="2" s="1"/>
  <c r="L213" i="2"/>
  <c r="L211" i="2"/>
  <c r="L210" i="2"/>
  <c r="N210" i="2" s="1"/>
  <c r="L209" i="2"/>
  <c r="N209" i="2" s="1"/>
  <c r="L207" i="2"/>
  <c r="N207" i="2" s="1"/>
  <c r="L204" i="2"/>
  <c r="N204" i="2" s="1"/>
  <c r="L203" i="2"/>
  <c r="N203" i="2" s="1"/>
  <c r="L202" i="2"/>
  <c r="N202" i="2" s="1"/>
  <c r="L201" i="2"/>
  <c r="N201" i="2" s="1"/>
  <c r="L200" i="2"/>
  <c r="N200" i="2" s="1"/>
  <c r="L199" i="2"/>
  <c r="N199" i="2" s="1"/>
  <c r="L198" i="2"/>
  <c r="N198" i="2" s="1"/>
  <c r="L196" i="2"/>
  <c r="N196" i="2" s="1"/>
  <c r="L195" i="2"/>
  <c r="N195" i="2" s="1"/>
  <c r="L194" i="2"/>
  <c r="N194" i="2" s="1"/>
  <c r="L193" i="2"/>
  <c r="N193" i="2" s="1"/>
  <c r="L192" i="2"/>
  <c r="N192" i="2" s="1"/>
  <c r="L191" i="2"/>
  <c r="N191" i="2" s="1"/>
  <c r="L190" i="2"/>
  <c r="N190" i="2" s="1"/>
  <c r="L189" i="2"/>
  <c r="N189" i="2" s="1"/>
  <c r="L188" i="2"/>
  <c r="N188" i="2" s="1"/>
  <c r="L187" i="2"/>
  <c r="N187" i="2" s="1"/>
  <c r="L186" i="2"/>
  <c r="N186" i="2" s="1"/>
  <c r="L185" i="2"/>
  <c r="N185" i="2" s="1"/>
  <c r="L184" i="2"/>
  <c r="N184" i="2" s="1"/>
  <c r="L183" i="2"/>
  <c r="N183" i="2" s="1"/>
  <c r="L182" i="2"/>
  <c r="N182" i="2" s="1"/>
  <c r="L181" i="2"/>
  <c r="N181" i="2" s="1"/>
  <c r="L180" i="2"/>
  <c r="N180" i="2" s="1"/>
  <c r="L175" i="2"/>
  <c r="N175" i="2" s="1"/>
  <c r="L174" i="2"/>
  <c r="N174" i="2" s="1"/>
  <c r="L173" i="2"/>
  <c r="N173" i="2" s="1"/>
  <c r="L172" i="2"/>
  <c r="N172" i="2" s="1"/>
  <c r="L171" i="2"/>
  <c r="N171" i="2" s="1"/>
  <c r="L170" i="2"/>
  <c r="N170" i="2" s="1"/>
  <c r="L169" i="2"/>
  <c r="N169" i="2" s="1"/>
  <c r="L168" i="2"/>
  <c r="N168" i="2" s="1"/>
  <c r="L167" i="2"/>
  <c r="N167" i="2" s="1"/>
  <c r="L166" i="2"/>
  <c r="N166" i="2" s="1"/>
  <c r="L164" i="2"/>
  <c r="N164" i="2" s="1"/>
  <c r="L163" i="2"/>
  <c r="N163" i="2" s="1"/>
  <c r="L160" i="2"/>
  <c r="N160" i="2" s="1"/>
  <c r="L159" i="2"/>
  <c r="N159" i="2" s="1"/>
  <c r="L158" i="2"/>
  <c r="N158" i="2" s="1"/>
  <c r="L155" i="2"/>
  <c r="N155" i="2" s="1"/>
  <c r="L154" i="2"/>
  <c r="L152" i="2"/>
  <c r="N152" i="2" s="1"/>
  <c r="L151" i="2"/>
  <c r="L149" i="2"/>
  <c r="L148" i="2" s="1"/>
  <c r="L147" i="2"/>
  <c r="N147" i="2" s="1"/>
  <c r="L146" i="2"/>
  <c r="N146" i="2" s="1"/>
  <c r="L145" i="2"/>
  <c r="N145" i="2" s="1"/>
  <c r="L144" i="2"/>
  <c r="N144" i="2" s="1"/>
  <c r="L143" i="2"/>
  <c r="N143" i="2" s="1"/>
  <c r="L142" i="2"/>
  <c r="N142" i="2" s="1"/>
  <c r="L140" i="2"/>
  <c r="N140" i="2" s="1"/>
  <c r="L139" i="2"/>
  <c r="N139" i="2" s="1"/>
  <c r="L138" i="2"/>
  <c r="N138" i="2" s="1"/>
  <c r="L137" i="2"/>
  <c r="N137" i="2" s="1"/>
  <c r="L136" i="2"/>
  <c r="N136" i="2" s="1"/>
  <c r="L135" i="2"/>
  <c r="N135" i="2" s="1"/>
  <c r="L132" i="2"/>
  <c r="N132" i="2" s="1"/>
  <c r="L131" i="2"/>
  <c r="N131" i="2" s="1"/>
  <c r="L130" i="2"/>
  <c r="N130" i="2" s="1"/>
  <c r="L129" i="2"/>
  <c r="N129" i="2" s="1"/>
  <c r="L127" i="2"/>
  <c r="L125" i="2"/>
  <c r="L124" i="2"/>
  <c r="L122" i="2"/>
  <c r="L121" i="2"/>
  <c r="L120" i="2"/>
  <c r="L119" i="2"/>
  <c r="L117" i="2"/>
  <c r="L116" i="2"/>
  <c r="L115" i="2"/>
  <c r="L112" i="2"/>
  <c r="L111" i="2"/>
  <c r="L110" i="2"/>
  <c r="L109" i="2"/>
  <c r="L108" i="2"/>
  <c r="L107" i="2"/>
  <c r="L105" i="2"/>
  <c r="L104" i="2"/>
  <c r="L103" i="2"/>
  <c r="L102" i="2"/>
  <c r="L101" i="2"/>
  <c r="L100" i="2"/>
  <c r="L98" i="2"/>
  <c r="N98" i="2" s="1"/>
  <c r="L97" i="2"/>
  <c r="N97" i="2" s="1"/>
  <c r="L96" i="2"/>
  <c r="N96" i="2" s="1"/>
  <c r="L95" i="2"/>
  <c r="L94" i="2"/>
  <c r="N94" i="2" s="1"/>
  <c r="L93" i="2"/>
  <c r="L92" i="2"/>
  <c r="N92" i="2" s="1"/>
  <c r="L89" i="2"/>
  <c r="N89" i="2" s="1"/>
  <c r="L88" i="2"/>
  <c r="N88" i="2" s="1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69" i="2"/>
  <c r="L68" i="2"/>
  <c r="L67" i="2"/>
  <c r="L66" i="2"/>
  <c r="L65" i="2"/>
  <c r="L64" i="2"/>
  <c r="L62" i="2"/>
  <c r="L61" i="2"/>
  <c r="L60" i="2"/>
  <c r="L59" i="2"/>
  <c r="L58" i="2"/>
  <c r="L57" i="2"/>
  <c r="L56" i="2"/>
  <c r="L55" i="2"/>
  <c r="L54" i="2"/>
  <c r="L53" i="2"/>
  <c r="L52" i="2"/>
  <c r="L50" i="2"/>
  <c r="L49" i="2"/>
  <c r="L47" i="2"/>
  <c r="L46" i="2"/>
  <c r="L45" i="2"/>
  <c r="L44" i="2"/>
  <c r="L43" i="2"/>
  <c r="L42" i="2"/>
  <c r="L41" i="2"/>
  <c r="L40" i="2"/>
  <c r="L39" i="2"/>
  <c r="L38" i="2"/>
  <c r="L37" i="2"/>
  <c r="L11" i="2"/>
  <c r="L8" i="2"/>
  <c r="L7" i="2"/>
  <c r="L6" i="2"/>
  <c r="I227" i="2" l="1"/>
  <c r="L123" i="2"/>
  <c r="L118" i="2"/>
  <c r="L5" i="2"/>
  <c r="L48" i="2"/>
  <c r="N225" i="2"/>
  <c r="I222" i="2"/>
  <c r="L150" i="2"/>
  <c r="L264" i="2"/>
  <c r="L223" i="2"/>
  <c r="L222" i="2" s="1"/>
  <c r="N265" i="2"/>
  <c r="L51" i="2"/>
  <c r="L227" i="2"/>
  <c r="N149" i="2"/>
  <c r="L70" i="2"/>
  <c r="L106" i="2"/>
  <c r="I133" i="2"/>
  <c r="L216" i="2"/>
  <c r="L215" i="2" s="1"/>
  <c r="L256" i="2"/>
  <c r="N257" i="2"/>
  <c r="N269" i="2"/>
  <c r="L268" i="2"/>
  <c r="L128" i="2"/>
  <c r="L36" i="2"/>
  <c r="L63" i="2"/>
  <c r="L99" i="2"/>
  <c r="N157" i="2"/>
  <c r="N134" i="2"/>
  <c r="L126" i="2"/>
  <c r="N127" i="2"/>
  <c r="L153" i="2"/>
  <c r="N154" i="2"/>
  <c r="L134" i="2"/>
  <c r="L162" i="2"/>
  <c r="J222" i="2"/>
  <c r="J227" i="2"/>
  <c r="N150" i="2"/>
  <c r="N223" i="2"/>
  <c r="L212" i="2"/>
  <c r="N162" i="2"/>
  <c r="N128" i="2"/>
  <c r="K227" i="2"/>
  <c r="K222" i="2"/>
  <c r="K161" i="2"/>
  <c r="J161" i="2"/>
  <c r="N222" i="2" l="1"/>
  <c r="N216" i="2"/>
  <c r="N215" i="2" s="1"/>
  <c r="N148" i="2"/>
  <c r="N153" i="2"/>
  <c r="N268" i="2"/>
  <c r="N126" i="2"/>
  <c r="N79" i="2"/>
  <c r="N75" i="2"/>
  <c r="N69" i="2"/>
  <c r="N68" i="2"/>
  <c r="N38" i="2"/>
  <c r="N39" i="2"/>
  <c r="N40" i="2"/>
  <c r="N41" i="2"/>
  <c r="N42" i="2"/>
  <c r="N43" i="2"/>
  <c r="N44" i="2"/>
  <c r="N45" i="2"/>
  <c r="N46" i="2"/>
  <c r="N47" i="2"/>
  <c r="N37" i="2"/>
  <c r="N11" i="2"/>
  <c r="N7" i="2"/>
  <c r="N8" i="2"/>
  <c r="N6" i="2"/>
  <c r="M270" i="2"/>
  <c r="M269" i="2"/>
  <c r="M266" i="2"/>
  <c r="M265" i="2"/>
  <c r="M263" i="2"/>
  <c r="M262" i="2"/>
  <c r="M259" i="2"/>
  <c r="M258" i="2"/>
  <c r="M257" i="2"/>
  <c r="M254" i="2"/>
  <c r="M253" i="2"/>
  <c r="M252" i="2"/>
  <c r="N252" i="2" s="1"/>
  <c r="M251" i="2"/>
  <c r="M250" i="2"/>
  <c r="M246" i="2"/>
  <c r="M245" i="2"/>
  <c r="M244" i="2"/>
  <c r="N244" i="2" s="1"/>
  <c r="M243" i="2"/>
  <c r="M241" i="2"/>
  <c r="N241" i="2" s="1"/>
  <c r="M240" i="2"/>
  <c r="N240" i="2" s="1"/>
  <c r="M237" i="2"/>
  <c r="M236" i="2"/>
  <c r="M235" i="2"/>
  <c r="M234" i="2"/>
  <c r="M231" i="2"/>
  <c r="M230" i="2" s="1"/>
  <c r="M229" i="2"/>
  <c r="M228" i="2" s="1"/>
  <c r="M226" i="2"/>
  <c r="M225" i="2" s="1"/>
  <c r="M224" i="2"/>
  <c r="M223" i="2" s="1"/>
  <c r="M221" i="2"/>
  <c r="M220" i="2"/>
  <c r="M219" i="2"/>
  <c r="M218" i="2"/>
  <c r="M217" i="2"/>
  <c r="M214" i="2"/>
  <c r="M213" i="2"/>
  <c r="N213" i="2" s="1"/>
  <c r="M211" i="2"/>
  <c r="M210" i="2"/>
  <c r="M209" i="2"/>
  <c r="M207" i="2"/>
  <c r="M204" i="2"/>
  <c r="M203" i="2"/>
  <c r="M202" i="2"/>
  <c r="M201" i="2"/>
  <c r="M200" i="2"/>
  <c r="M199" i="2"/>
  <c r="M198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5" i="2"/>
  <c r="M174" i="2"/>
  <c r="M173" i="2"/>
  <c r="M172" i="2"/>
  <c r="M171" i="2"/>
  <c r="M170" i="2"/>
  <c r="M169" i="2"/>
  <c r="M168" i="2"/>
  <c r="M167" i="2"/>
  <c r="M166" i="2"/>
  <c r="M164" i="2"/>
  <c r="M163" i="2"/>
  <c r="M160" i="2"/>
  <c r="M159" i="2"/>
  <c r="M158" i="2"/>
  <c r="M155" i="2"/>
  <c r="M154" i="2"/>
  <c r="M152" i="2"/>
  <c r="M151" i="2"/>
  <c r="M149" i="2"/>
  <c r="M148" i="2" s="1"/>
  <c r="M147" i="2"/>
  <c r="M146" i="2"/>
  <c r="M145" i="2"/>
  <c r="M144" i="2"/>
  <c r="M143" i="2"/>
  <c r="M142" i="2"/>
  <c r="M140" i="2"/>
  <c r="M139" i="2"/>
  <c r="M138" i="2"/>
  <c r="M137" i="2"/>
  <c r="M136" i="2"/>
  <c r="M135" i="2"/>
  <c r="M132" i="2"/>
  <c r="M131" i="2"/>
  <c r="M130" i="2"/>
  <c r="M129" i="2"/>
  <c r="M127" i="2"/>
  <c r="M126" i="2" s="1"/>
  <c r="M125" i="2"/>
  <c r="M124" i="2"/>
  <c r="M122" i="2"/>
  <c r="N122" i="2" s="1"/>
  <c r="M121" i="2"/>
  <c r="N121" i="2" s="1"/>
  <c r="M120" i="2"/>
  <c r="N120" i="2" s="1"/>
  <c r="M119" i="2"/>
  <c r="M117" i="2"/>
  <c r="M116" i="2"/>
  <c r="M115" i="2"/>
  <c r="M112" i="2"/>
  <c r="M111" i="2"/>
  <c r="M110" i="2"/>
  <c r="M109" i="2"/>
  <c r="M108" i="2"/>
  <c r="M107" i="2"/>
  <c r="M105" i="2"/>
  <c r="M104" i="2"/>
  <c r="M103" i="2"/>
  <c r="M102" i="2"/>
  <c r="M101" i="2"/>
  <c r="M100" i="2"/>
  <c r="M98" i="2"/>
  <c r="M97" i="2"/>
  <c r="M96" i="2"/>
  <c r="M95" i="2"/>
  <c r="M94" i="2"/>
  <c r="M93" i="2"/>
  <c r="M92" i="2"/>
  <c r="M89" i="2"/>
  <c r="M88" i="2"/>
  <c r="M86" i="2"/>
  <c r="M85" i="2"/>
  <c r="M84" i="2"/>
  <c r="M83" i="2"/>
  <c r="N83" i="2" s="1"/>
  <c r="M82" i="2"/>
  <c r="N82" i="2" s="1"/>
  <c r="M81" i="2"/>
  <c r="N81" i="2" s="1"/>
  <c r="M80" i="2"/>
  <c r="N80" i="2" s="1"/>
  <c r="M79" i="2"/>
  <c r="M78" i="2"/>
  <c r="N78" i="2" s="1"/>
  <c r="M77" i="2"/>
  <c r="N77" i="2" s="1"/>
  <c r="M76" i="2"/>
  <c r="N76" i="2" s="1"/>
  <c r="M75" i="2"/>
  <c r="M74" i="2"/>
  <c r="N74" i="2" s="1"/>
  <c r="M73" i="2"/>
  <c r="N73" i="2" s="1"/>
  <c r="M72" i="2"/>
  <c r="N72" i="2" s="1"/>
  <c r="M71" i="2"/>
  <c r="M69" i="2"/>
  <c r="M68" i="2"/>
  <c r="M67" i="2"/>
  <c r="N67" i="2" s="1"/>
  <c r="M66" i="2"/>
  <c r="N66" i="2" s="1"/>
  <c r="M65" i="2"/>
  <c r="N65" i="2" s="1"/>
  <c r="M64" i="2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M50" i="2"/>
  <c r="N50" i="2" s="1"/>
  <c r="M49" i="2"/>
  <c r="M47" i="2"/>
  <c r="M46" i="2"/>
  <c r="M45" i="2"/>
  <c r="M44" i="2"/>
  <c r="M43" i="2"/>
  <c r="M42" i="2"/>
  <c r="M41" i="2"/>
  <c r="M40" i="2"/>
  <c r="M39" i="2"/>
  <c r="M38" i="2"/>
  <c r="M37" i="2"/>
  <c r="M11" i="2"/>
  <c r="M8" i="2"/>
  <c r="M7" i="2"/>
  <c r="M6" i="2"/>
  <c r="M162" i="2" l="1"/>
  <c r="M128" i="2"/>
  <c r="M134" i="2"/>
  <c r="M256" i="2"/>
  <c r="M123" i="2"/>
  <c r="M150" i="2"/>
  <c r="M268" i="2"/>
  <c r="N36" i="2"/>
  <c r="M222" i="2"/>
  <c r="N52" i="2"/>
  <c r="M51" i="2"/>
  <c r="M212" i="2"/>
  <c r="M227" i="2"/>
  <c r="M264" i="2"/>
  <c r="N49" i="2"/>
  <c r="M48" i="2"/>
  <c r="M36" i="2"/>
  <c r="N64" i="2"/>
  <c r="M63" i="2"/>
  <c r="M99" i="2"/>
  <c r="N119" i="2"/>
  <c r="M118" i="2"/>
  <c r="N212" i="2"/>
  <c r="M5" i="2"/>
  <c r="N71" i="2"/>
  <c r="M70" i="2"/>
  <c r="M106" i="2"/>
  <c r="M153" i="2"/>
  <c r="M216" i="2"/>
  <c r="M215" i="2" s="1"/>
  <c r="N5" i="2"/>
  <c r="J87" i="2"/>
  <c r="K87" i="2"/>
  <c r="J91" i="2"/>
  <c r="K91" i="2"/>
  <c r="J12" i="2" l="1"/>
  <c r="N51" i="2"/>
  <c r="N48" i="2"/>
  <c r="N70" i="2"/>
  <c r="N63" i="2"/>
  <c r="N118" i="2"/>
  <c r="K141" i="2" l="1"/>
  <c r="K133" i="2" s="1"/>
  <c r="N112" i="2" l="1"/>
  <c r="K13" i="2" l="1"/>
  <c r="K12" i="2" s="1"/>
  <c r="L28" i="2"/>
  <c r="M28" i="2" s="1"/>
  <c r="N28" i="2" s="1"/>
  <c r="L24" i="2"/>
  <c r="M24" i="2" s="1"/>
  <c r="N24" i="2" s="1"/>
  <c r="L20" i="2"/>
  <c r="M20" i="2" s="1"/>
  <c r="N20" i="2" s="1"/>
  <c r="L16" i="2"/>
  <c r="M16" i="2" s="1"/>
  <c r="N16" i="2" s="1"/>
  <c r="L27" i="2"/>
  <c r="M27" i="2" s="1"/>
  <c r="N27" i="2" s="1"/>
  <c r="L23" i="2"/>
  <c r="M23" i="2" s="1"/>
  <c r="N23" i="2" s="1"/>
  <c r="L19" i="2"/>
  <c r="M19" i="2" s="1"/>
  <c r="N19" i="2" s="1"/>
  <c r="L15" i="2"/>
  <c r="M15" i="2" s="1"/>
  <c r="N15" i="2" s="1"/>
  <c r="L30" i="2"/>
  <c r="M30" i="2" s="1"/>
  <c r="N30" i="2" s="1"/>
  <c r="L26" i="2"/>
  <c r="M26" i="2" s="1"/>
  <c r="N26" i="2" s="1"/>
  <c r="L22" i="2"/>
  <c r="M22" i="2" s="1"/>
  <c r="N22" i="2" s="1"/>
  <c r="L18" i="2"/>
  <c r="M18" i="2" s="1"/>
  <c r="N18" i="2" s="1"/>
  <c r="L29" i="2"/>
  <c r="M29" i="2" s="1"/>
  <c r="N29" i="2" s="1"/>
  <c r="L25" i="2"/>
  <c r="M25" i="2" s="1"/>
  <c r="N25" i="2" s="1"/>
  <c r="L21" i="2"/>
  <c r="M21" i="2" s="1"/>
  <c r="N21" i="2" s="1"/>
  <c r="L17" i="2"/>
  <c r="M17" i="2" s="1"/>
  <c r="N17" i="2" s="1"/>
  <c r="L13" i="2" l="1"/>
  <c r="M14" i="2"/>
  <c r="K271" i="2"/>
  <c r="J141" i="2"/>
  <c r="J133" i="2" s="1"/>
  <c r="N14" i="2" l="1"/>
  <c r="M13" i="2"/>
  <c r="L141" i="2"/>
  <c r="L133" i="2" s="1"/>
  <c r="N258" i="2"/>
  <c r="N256" i="2" s="1"/>
  <c r="N13" i="2" l="1"/>
  <c r="N141" i="2"/>
  <c r="M141" i="2"/>
  <c r="M133" i="2" s="1"/>
  <c r="N133" i="2" l="1"/>
  <c r="J271" i="2"/>
  <c r="I267" i="2"/>
  <c r="L233" i="2"/>
  <c r="L232" i="2" s="1"/>
  <c r="L157" i="2"/>
  <c r="L91" i="2"/>
  <c r="N267" i="2" l="1"/>
  <c r="L267" i="2"/>
  <c r="M267" i="2" s="1"/>
  <c r="L156" i="2"/>
  <c r="I233" i="2" l="1"/>
  <c r="I232" i="2" s="1"/>
  <c r="N117" i="2"/>
  <c r="N101" i="2"/>
  <c r="N102" i="2"/>
  <c r="N103" i="2"/>
  <c r="N104" i="2"/>
  <c r="N105" i="2"/>
  <c r="I261" i="2"/>
  <c r="L261" i="2" l="1"/>
  <c r="I260" i="2"/>
  <c r="N100" i="2"/>
  <c r="N156" i="2"/>
  <c r="N261" i="2" l="1"/>
  <c r="N260" i="2" s="1"/>
  <c r="L260" i="2"/>
  <c r="M261" i="2"/>
  <c r="M260" i="2" s="1"/>
  <c r="N99" i="2"/>
  <c r="I255" i="2"/>
  <c r="M255" i="2" s="1"/>
  <c r="I249" i="2"/>
  <c r="L249" i="2" s="1"/>
  <c r="M249" i="2" s="1"/>
  <c r="N249" i="2" s="1"/>
  <c r="I248" i="2"/>
  <c r="L248" i="2" s="1"/>
  <c r="I247" i="2"/>
  <c r="L247" i="2" s="1"/>
  <c r="M247" i="2" s="1"/>
  <c r="N247" i="2" s="1"/>
  <c r="I242" i="2"/>
  <c r="L242" i="2" s="1"/>
  <c r="M242" i="2" s="1"/>
  <c r="N242" i="2" s="1"/>
  <c r="I239" i="2"/>
  <c r="I208" i="2"/>
  <c r="I197" i="2"/>
  <c r="L197" i="2" s="1"/>
  <c r="I179" i="2"/>
  <c r="L179" i="2" s="1"/>
  <c r="I178" i="2"/>
  <c r="L178" i="2" s="1"/>
  <c r="I177" i="2"/>
  <c r="I114" i="2"/>
  <c r="I90" i="2"/>
  <c r="I35" i="2"/>
  <c r="L35" i="2" s="1"/>
  <c r="I34" i="2"/>
  <c r="L34" i="2" s="1"/>
  <c r="I33" i="2"/>
  <c r="L33" i="2" s="1"/>
  <c r="I32" i="2"/>
  <c r="I10" i="2"/>
  <c r="N33" i="2" l="1"/>
  <c r="M33" i="2"/>
  <c r="N197" i="2"/>
  <c r="M197" i="2"/>
  <c r="N34" i="2"/>
  <c r="M34" i="2"/>
  <c r="I206" i="2"/>
  <c r="I205" i="2" s="1"/>
  <c r="L208" i="2"/>
  <c r="N35" i="2"/>
  <c r="M35" i="2"/>
  <c r="L239" i="2"/>
  <c r="I238" i="2"/>
  <c r="I113" i="2"/>
  <c r="L114" i="2"/>
  <c r="I176" i="2"/>
  <c r="I165" i="2" s="1"/>
  <c r="I161" i="2" s="1"/>
  <c r="L177" i="2"/>
  <c r="N248" i="2"/>
  <c r="M248" i="2"/>
  <c r="L10" i="2"/>
  <c r="I9" i="2"/>
  <c r="N178" i="2"/>
  <c r="M178" i="2"/>
  <c r="I31" i="2"/>
  <c r="I12" i="2" s="1"/>
  <c r="L32" i="2"/>
  <c r="I87" i="2"/>
  <c r="L90" i="2"/>
  <c r="N179" i="2"/>
  <c r="M179" i="2"/>
  <c r="L31" i="2" l="1"/>
  <c r="M32" i="2"/>
  <c r="M31" i="2" s="1"/>
  <c r="N32" i="2"/>
  <c r="N31" i="2" s="1"/>
  <c r="N90" i="2"/>
  <c r="N87" i="2" s="1"/>
  <c r="M90" i="2"/>
  <c r="L113" i="2"/>
  <c r="M114" i="2"/>
  <c r="M113" i="2" s="1"/>
  <c r="N177" i="2"/>
  <c r="N176" i="2" s="1"/>
  <c r="N165" i="2" s="1"/>
  <c r="L176" i="2"/>
  <c r="L165" i="2" s="1"/>
  <c r="M177" i="2"/>
  <c r="M176" i="2" s="1"/>
  <c r="M165" i="2" s="1"/>
  <c r="M161" i="2" s="1"/>
  <c r="L206" i="2"/>
  <c r="L205" i="2" s="1"/>
  <c r="N208" i="2"/>
  <c r="N206" i="2" s="1"/>
  <c r="N205" i="2" s="1"/>
  <c r="N161" i="2" s="1"/>
  <c r="M208" i="2"/>
  <c r="M206" i="2" s="1"/>
  <c r="M205" i="2" s="1"/>
  <c r="L9" i="2"/>
  <c r="N10" i="2"/>
  <c r="N9" i="2" s="1"/>
  <c r="M10" i="2"/>
  <c r="M9" i="2" s="1"/>
  <c r="N239" i="2"/>
  <c r="N238" i="2" s="1"/>
  <c r="M239" i="2"/>
  <c r="L238" i="2"/>
  <c r="L87" i="2"/>
  <c r="L12" i="2" s="1"/>
  <c r="I271" i="2"/>
  <c r="L161" i="2" l="1"/>
  <c r="L271" i="2" s="1"/>
  <c r="N84" i="2"/>
  <c r="N110" i="2" l="1"/>
  <c r="N229" i="2" l="1"/>
  <c r="N116" i="2"/>
  <c r="N115" i="2"/>
  <c r="N111" i="2"/>
  <c r="N85" i="2"/>
  <c r="N228" i="2" l="1"/>
  <c r="M233" i="2"/>
  <c r="M232" i="2" s="1"/>
  <c r="M157" i="2"/>
  <c r="M156" i="2" s="1"/>
  <c r="N86" i="2"/>
  <c r="M87" i="2"/>
  <c r="N264" i="2" l="1"/>
  <c r="M91" i="2"/>
  <c r="M12" i="2" s="1"/>
  <c r="N91" i="2"/>
  <c r="N114" i="2"/>
  <c r="N231" i="2"/>
  <c r="N113" i="2" l="1"/>
  <c r="N230" i="2"/>
  <c r="N125" i="2"/>
  <c r="N227" i="2" l="1"/>
  <c r="M238" i="2"/>
  <c r="N233" i="2"/>
  <c r="N109" i="2"/>
  <c r="N108" i="2"/>
  <c r="N107" i="2"/>
  <c r="N232" i="2" l="1"/>
  <c r="N106" i="2"/>
  <c r="M271" i="2"/>
  <c r="N124" i="2"/>
  <c r="N123" i="2" l="1"/>
  <c r="N271" i="2" l="1"/>
</calcChain>
</file>

<file path=xl/sharedStrings.xml><?xml version="1.0" encoding="utf-8"?>
<sst xmlns="http://schemas.openxmlformats.org/spreadsheetml/2006/main" count="626" uniqueCount="398">
  <si>
    <t xml:space="preserve"> </t>
  </si>
  <si>
    <t>EVID. BR. NABAVE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</si>
  <si>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</si>
  <si>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</si>
  <si>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</si>
  <si>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</si>
  <si>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</si>
  <si>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</si>
  <si>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</si>
  <si>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</si>
  <si>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</si>
  <si>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UREDSKI MATERIJAL</t>
  </si>
  <si>
    <t>JEDNOSTAVNA NABAVA</t>
  </si>
  <si>
    <t>PROVODI URED ZA JAVNU NABAVU GRADA ZAGREBA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</si>
  <si>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</si>
  <si>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</si>
  <si>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</si>
  <si>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</si>
  <si>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</si>
  <si>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</si>
  <si>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</si>
  <si>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</si>
  <si>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</si>
  <si>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</si>
  <si>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</si>
  <si>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</si>
  <si>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</si>
  <si>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</si>
  <si>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</si>
  <si>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</si>
  <si>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</si>
  <si>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</si>
  <si>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</si>
  <si>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</si>
  <si>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</si>
  <si>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</si>
  <si>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</si>
  <si>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</si>
  <si>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</si>
  <si>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OSNOVNI MATERIJAL I SIROVINE - KEMIKALIJE, GRUPE: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</si>
  <si>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</si>
  <si>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</si>
  <si>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</si>
  <si>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</si>
  <si>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</si>
  <si>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</si>
  <si>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</si>
  <si>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</si>
  <si>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</si>
  <si>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</si>
  <si>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</si>
  <si>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</si>
  <si>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</si>
  <si>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OSTALO</t>
  </si>
  <si>
    <t>PESTICIDI ZA LC/MS/MS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</si>
  <si>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</si>
  <si>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</si>
  <si>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</si>
  <si>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</si>
  <si>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</si>
  <si>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</si>
  <si>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</si>
  <si>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</si>
  <si>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</si>
  <si>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</si>
  <si>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</si>
  <si>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</si>
  <si>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</si>
  <si>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</si>
  <si>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KITOVI ZA DETEKCIJU BAKTERIJSKIH TOKSINA    </t>
  </si>
  <si>
    <t>TESTOVI, MEDIJI I OSTALI PRIBOR ZA UREĐAJ ZA BROJANJE MIKROORGANIZAMA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</si>
  <si>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</si>
  <si>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</si>
  <si>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</si>
  <si>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</si>
  <si>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</si>
  <si>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</si>
  <si>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</si>
  <si>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</si>
  <si>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</si>
  <si>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</si>
  <si>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</si>
  <si>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</si>
  <si>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GOTOVE COLILERT PODLOGE ZA KOLIFORME I E. COLI MPN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</si>
  <si>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</si>
  <si>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</si>
  <si>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</si>
  <si>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</si>
  <si>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</si>
  <si>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</si>
  <si>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</si>
  <si>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</si>
  <si>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</si>
  <si>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</si>
  <si>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</si>
  <si>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</si>
  <si>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</si>
  <si>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</si>
  <si>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</si>
  <si>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</si>
  <si>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</si>
  <si>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</si>
  <si>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</si>
  <si>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</si>
  <si>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</si>
  <si>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MCE-202 MULTINA INSTRUMENTU</t>
  </si>
  <si>
    <t>KITOVI, REAGENSI I OSTALI POTROŠNI MATERIJAL ZA RAD NA LIGHTCYLER 480 II I MAGNA PURE COMPACT INSTRUMENTU</t>
  </si>
  <si>
    <t>KITOVI, REAGENSI I OSTALI POTROŠNI MATERIJAL ZA RAD NA ELITE INGENIUS APARATU</t>
  </si>
  <si>
    <t>POTROŠNI MATERIJAL ZA MOLEKULARNU DIJAGNOSTIKU ZA POTREBE PROJEKTA HRVATSKE ZAKLADE ZA ZNANOST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</si>
  <si>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</si>
  <si>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</si>
  <si>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</si>
  <si>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</si>
  <si>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</si>
  <si>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</si>
  <si>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</si>
  <si>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</si>
  <si>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</si>
  <si>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</si>
  <si>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</si>
  <si>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</si>
  <si>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</si>
  <si>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</si>
  <si>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</si>
  <si>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PLIN</t>
  </si>
  <si>
    <t>MOTORNI BENZIN I DIZEL GORIVO</t>
  </si>
  <si>
    <t>ZAJEDNIČKA NABAVA PUTEM UREDA ZA JAVNU NABAVU GRADA ZAGREBA</t>
  </si>
  <si>
    <t>MATERIJAL I DIJELOVI ZA TEKUĆE I INVESTICIJSKO ODRŽAVANJE OPREME (EKOLOGIJA)</t>
  </si>
  <si>
    <t>KOLONE, PRETKOLONE I SPE KOLONE ZA KROMATOGRAFIJU, GRUPE:</t>
  </si>
  <si>
    <t xml:space="preserve">KOLONE ZA PLINSKU KROMATOGRAFIJU </t>
  </si>
  <si>
    <t>KOLONE ZA IONSKU KROMATOGRAFIJU (IC)</t>
  </si>
  <si>
    <t>GOTOVI TESTOVI ZA EKOLOGIJU I OSTALO, GRUPE:</t>
  </si>
  <si>
    <t>GOTOVI TESTOVI ZA PESTICIDE I SPE  KOLONE ZA DODATNO PROČIŠĆAVANJE I  EKSTRAKCIJU UZORAKA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</si>
  <si>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</si>
  <si>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</si>
  <si>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</si>
  <si>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POTROŠNI MATERIJAL ZA ODREĐIVANJE AOX-A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</si>
  <si>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</si>
  <si>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</si>
  <si>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</si>
  <si>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</si>
  <si>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AUTO GUME</t>
  </si>
  <si>
    <t>SLUŽBENA, RADNA I ZAŠTITNA ODJEĆA I OBUĆA</t>
  </si>
  <si>
    <t xml:space="preserve">SLUŽBENA, RADNA I ZAŠTITNA OBUĆA ZA RAD NA OTVORENOM 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</si>
  <si>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</si>
  <si>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</si>
  <si>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</si>
  <si>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</si>
  <si>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</si>
  <si>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</si>
  <si>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</si>
  <si>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</si>
  <si>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</si>
  <si>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</si>
  <si>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</si>
  <si>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</si>
  <si>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</si>
  <si>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</si>
  <si>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</si>
  <si>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</si>
  <si>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</si>
  <si>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</si>
  <si>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</si>
  <si>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</si>
  <si>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TECATOR, ANIKOM</t>
  </si>
  <si>
    <t>USL. TO LABORAT. OPREME PROIZVOĐAČA / THERMO, MILESTONE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</si>
  <si>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</si>
  <si>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</si>
  <si>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</si>
  <si>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</si>
  <si>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</si>
  <si>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</si>
  <si>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</si>
  <si>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</si>
  <si>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</si>
  <si>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</si>
  <si>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</si>
  <si>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</si>
  <si>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</si>
  <si>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</si>
  <si>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</si>
  <si>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</si>
  <si>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</si>
  <si>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</si>
  <si>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</si>
  <si>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OSTALE NAJAMNINE I ZAKUPNINE</t>
  </si>
  <si>
    <t>NAJAM POHRANE GRADIVA - ARHIVSKOG PROSTORA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</si>
  <si>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</si>
  <si>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</si>
  <si>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</si>
  <si>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</si>
  <si>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</si>
  <si>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</si>
  <si>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</si>
  <si>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</si>
  <si>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USLUGE RAZVOJA SOFTVERA (ODRŽAVANJE POSLOVNIH PROGRAMSKIH RJEŠENJA), GRUPE:</t>
  </si>
  <si>
    <t>ODRŽAVANJE SUSTAVA ZA EKOLOGIJU</t>
  </si>
  <si>
    <t>ODRŽAVANJE SUSTAVA ZA MIKROBIOLOGIJU</t>
  </si>
  <si>
    <t>ODRŽAVANJE SUSTAVA ZA  PREVENCIJU OVISNOSTI</t>
  </si>
  <si>
    <t>ODRŽAVANJE APLIKACIJE ZA EPIDEMIOLOGIJU</t>
  </si>
  <si>
    <t>ODRŽAVANJE SUSTAVA ZA GOSPODARSTVENE POSLOVE (KORWIN)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</si>
  <si>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</si>
  <si>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</si>
  <si>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</si>
  <si>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</si>
  <si>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</si>
  <si>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</si>
  <si>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</si>
  <si>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GOSPODARENJE OPASNIM OTPADOM</t>
  </si>
  <si>
    <t>ODRŽAVANJE SUSTAVA ZA NABAVU I SKLADIŠNO POSLOVANJE I PROIZVODNJU PODLOGA</t>
  </si>
  <si>
    <t>OSTALE RAČUNALNE USLUGE (ODRŽAVANJE IT INFRASTRUKTURE)</t>
  </si>
  <si>
    <t>GRAFIČKE I TISKARSKE USLUGE  TISAK OBRAZACA</t>
  </si>
  <si>
    <t>USLUGE ČIŠĆENJA, PRANJA I SLIČNO</t>
  </si>
  <si>
    <t xml:space="preserve">USLUGE ČIŠĆENJA, PRANJA I SLIČNO  PRANJE KUTA </t>
  </si>
  <si>
    <t>USLUGE ČUVANJA IMOVINE I OSOBA</t>
  </si>
  <si>
    <t>OSTALE NESPOMOMENUTE USLUGE</t>
  </si>
  <si>
    <t>USLUGE IZRADE VIZUALNE KOMUNIKACIJE</t>
  </si>
  <si>
    <t>USLUGE KORIŠTENJA SUSTAVA E- RAČUN</t>
  </si>
  <si>
    <t>PREMIJE OSIGURANJA</t>
  </si>
  <si>
    <t>REPREZENTACIJA</t>
  </si>
  <si>
    <t>POTREBE ZA ČAJNU KUHINJU ZAVODA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</si>
  <si>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</si>
  <si>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</si>
  <si>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</si>
  <si>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</si>
  <si>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</si>
  <si>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</si>
  <si>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</si>
  <si>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ODRŽAVANJE SUSTAVA ZA PRAĆENJE VOZILA</t>
  </si>
  <si>
    <t>DROGE I PSIHOTROPNE TVARI</t>
  </si>
  <si>
    <t>OSTALE ZDRAVSTVENE USLUGE - OČITAVANJE NALAZA PREVENTIVNE MAMOGRAFIJE</t>
  </si>
  <si>
    <t>KOLONE I PRETKOLONE ZA TEKUĆINSKU KROMATOGRAFIJU (LC/MS I LC/MSMS), SPE KOLONE I KOLONE ZA PRIRPEMU UZORAKA MIKOTOKSINA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</si>
  <si>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</si>
  <si>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</si>
  <si>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KOLONE ZA ODREĐIVANJE SULFITA</t>
  </si>
  <si>
    <t>KONZULTANTSKE USLUGE ZA PROVEDBU INFRASTRUKTURNOG PROJEKTA "Centar za sigurnost i kvalitetu hrane"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</si>
  <si>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</si>
  <si>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</si>
  <si>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</si>
  <si>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PROCIJENJENA VRIJEDNOST ZA 2019. GODINU</t>
  </si>
  <si>
    <t>30192000-1</t>
  </si>
  <si>
    <t>PROSINAC 2019.</t>
  </si>
  <si>
    <t xml:space="preserve">33651000-8 </t>
  </si>
  <si>
    <t>VELJAČA 2019.</t>
  </si>
  <si>
    <t xml:space="preserve">24000000-4 </t>
  </si>
  <si>
    <t>LIPANJ 2019.</t>
  </si>
  <si>
    <t>RUJAN 2019.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</si>
  <si>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</si>
  <si>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</si>
  <si>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</si>
  <si>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</si>
  <si>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</si>
  <si>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>OŽUJAK 2019.</t>
  </si>
  <si>
    <t xml:space="preserve">19520000-7 </t>
  </si>
  <si>
    <t>SRPANJ 2019.</t>
  </si>
  <si>
    <t>24450000-3</t>
  </si>
  <si>
    <t>33694000-1</t>
  </si>
  <si>
    <t>33695000-8</t>
  </si>
  <si>
    <t>24110000-8</t>
  </si>
  <si>
    <t xml:space="preserve">44400000-4 </t>
  </si>
  <si>
    <t>34350000-5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</si>
  <si>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</si>
  <si>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</si>
  <si>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</si>
  <si>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</si>
  <si>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</si>
  <si>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</si>
  <si>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</si>
  <si>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</si>
  <si>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</si>
  <si>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</si>
  <si>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>USLUGE KOMUNIKACIJSKOG SAVJETOVANJA I ODNOSA S JAVNOŠĆU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</si>
  <si>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</si>
  <si>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</si>
  <si>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</si>
  <si>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</si>
  <si>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</si>
  <si>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</si>
  <si>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</si>
  <si>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</si>
  <si>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ODRŽAVANJE SUSTAVA ZA EVIDENCIJU RADNOG VREMENA</t>
  </si>
  <si>
    <t>50312000-5</t>
  </si>
  <si>
    <t xml:space="preserve">79800000-2 </t>
  </si>
  <si>
    <t>GRAFIČKE I TISKARSKE USLUGE, USLUGE KOPIRANJA I UVEZIVANJA I SL., Grupe:</t>
  </si>
  <si>
    <t>90919000-2</t>
  </si>
  <si>
    <t xml:space="preserve">98310000-9 </t>
  </si>
  <si>
    <t>79710000-4</t>
  </si>
  <si>
    <t>1500000-8</t>
  </si>
  <si>
    <t>66510000-8</t>
  </si>
  <si>
    <t>79200000-6</t>
  </si>
  <si>
    <t>POTROŠNI MATERIJAL ZA APARAT PREVI COLOR ZA AUTOMATSKO BOJANJE PREPARATA PO GRAMU</t>
  </si>
  <si>
    <t>ELISA TESTOVI I DRUGO</t>
  </si>
  <si>
    <t>50112300-6</t>
  </si>
  <si>
    <t>50110000-9</t>
  </si>
  <si>
    <t xml:space="preserve">ZAKUPNINE I NAJAMNINE </t>
  </si>
  <si>
    <t>GRAFIČKE I TISKARSKE USLUGE  PRIRUČNICI ZA THM</t>
  </si>
  <si>
    <t>GRAFIČKE I TISKARSKE USLUGE  TISAK KNJIGA, PRIRUČNIKA, POSTERA, BROŠURA I SL.</t>
  </si>
  <si>
    <t>1. SERVISIRANJE I ODRŽAVANJE VOZILA PEUGEOUT</t>
  </si>
  <si>
    <t>2. SERVISIRANJE I ODRŽAVANJE VOZILA DACIA</t>
  </si>
  <si>
    <t>3. SERVISIRANJE I ODRŽAVANJE VOZILA IVECO</t>
  </si>
  <si>
    <t>4. SERVISIRANJE I ODRŽAVANJE VOZILA - OSTALA VOZILA</t>
  </si>
  <si>
    <t>2 GODINA</t>
  </si>
  <si>
    <t>ZDRAVSTVENE USLUGE</t>
  </si>
  <si>
    <t>NOVA PROCIJENJENA VRIJEDNOST ZA 2019. GODINU</t>
  </si>
  <si>
    <t>EMV-06-2019</t>
  </si>
  <si>
    <t>TRAVANJ 2019.</t>
  </si>
  <si>
    <t>BN-05-2019</t>
  </si>
  <si>
    <t>EMV-03-2019</t>
  </si>
  <si>
    <t>EMV-07-2019</t>
  </si>
  <si>
    <t>EMV-08-2019</t>
  </si>
  <si>
    <t>BN-09-2019</t>
  </si>
  <si>
    <t>EVV-01-2019</t>
  </si>
  <si>
    <t>EMV-01-2019</t>
  </si>
  <si>
    <t>BN-07-2019</t>
  </si>
  <si>
    <t>EMV-02-2019</t>
  </si>
  <si>
    <t>EMV-05-2019</t>
  </si>
  <si>
    <t xml:space="preserve">UMJERAVANJE MJERILA VOLUMENA </t>
  </si>
  <si>
    <t>BN-03-2019</t>
  </si>
  <si>
    <t>50433000-9</t>
  </si>
  <si>
    <t>UMJERAVANJE MJERILA TEMPERATURE</t>
  </si>
  <si>
    <t>BN-06-2019</t>
  </si>
  <si>
    <t>CJEPIVO PROTIV MENINGOKOKNE BOLESTI GR. B.</t>
  </si>
  <si>
    <t>CJEPIVO PROTIV DIFTERIJE, TETANUSA I ACELULARNOG PERTUSISA</t>
  </si>
  <si>
    <t>CJEPIVO PROTIV BJESNOĆE</t>
  </si>
  <si>
    <t>POVEĆANJE / SMANJENJE
UV 21
01.03.2019</t>
  </si>
  <si>
    <t>EMV-18-2019</t>
  </si>
  <si>
    <t>EMV-16-2019</t>
  </si>
  <si>
    <t>SVIBANJ 2019.</t>
  </si>
  <si>
    <t>EMV-23-2019</t>
  </si>
  <si>
    <t>LISTOPAD 2019.</t>
  </si>
  <si>
    <t xml:space="preserve">ZAMJENA PROCESORA NA PLAMENIKU </t>
  </si>
  <si>
    <t>IZMJENA PUMPI U SUSTAVU NEUTRALIZACIJE</t>
  </si>
  <si>
    <t>50712000-9</t>
  </si>
  <si>
    <t>BN-15-2019</t>
  </si>
  <si>
    <t xml:space="preserve">50511000-0 </t>
  </si>
  <si>
    <t>BN-16-2019</t>
  </si>
  <si>
    <t>Preventivni servis HPLC uređaja Flexar FX-10</t>
  </si>
  <si>
    <t>BN-10-2019</t>
  </si>
  <si>
    <t>EMV-22-2019</t>
  </si>
  <si>
    <t>EVV-03-2019</t>
  </si>
  <si>
    <t>BN-17-2019</t>
  </si>
  <si>
    <t>BN-14-2019</t>
  </si>
  <si>
    <t>CERTIFIKACIJA ZA NORME ISO 9001, ISO 14001 I ISO 45001</t>
  </si>
  <si>
    <t>EVV-02-2019</t>
  </si>
  <si>
    <t xml:space="preserve">Plan nabave materijala, energije i usluga za 2019. godinu - II. Rebalans </t>
  </si>
  <si>
    <t>OSNOVNI MATERIJAL I SIROVINE - DISKOVI, Grupe:</t>
  </si>
  <si>
    <t>DISKOVI ZA ATB</t>
  </si>
  <si>
    <t xml:space="preserve">DIJAGNOSTIČKI DISKOVI </t>
  </si>
  <si>
    <t>TEST ZA KVALITATIVNO ODREĐIVANJE KALPROTEKTINA U STOLICI</t>
  </si>
  <si>
    <t>EMV-11-2019</t>
  </si>
  <si>
    <t>IMUNOBLOT TESTOVI I DRUGO</t>
  </si>
  <si>
    <t>BN-13-2019</t>
  </si>
  <si>
    <t>USL. TO LABORAT. OPREME PROIZVOĐAČA /  BIOMERIEUX</t>
  </si>
  <si>
    <t>EMV-25-2019</t>
  </si>
  <si>
    <t>BN-11-2019</t>
  </si>
  <si>
    <t>BN-21-2019</t>
  </si>
  <si>
    <t>TESTOVI ZA MOLEKULARNU DETEKCIJU TOKSINA C. DIFFICILE AMPLIFIKACIJSKOM METODOM</t>
  </si>
  <si>
    <t>BN-20-2019</t>
  </si>
  <si>
    <t>Izvanredni servis uređaja GCMS Shimadzu sa zamjenom neophodnih dijelova</t>
  </si>
  <si>
    <t>IZNOŠENJE I ODVOZ SMEĆA - ZBRINJAVANJE OPASNOG I INFEKTIVNOG OTPADA, Grupe:</t>
  </si>
  <si>
    <t>1. Usluge zbrinjavanja opasnog medicinskog otpada, ostalog opasnog otpada, neopasnog i farmaceutskog otpada</t>
  </si>
  <si>
    <t>2. Usluge zbrinjavanja otpadnog papira i kartona</t>
  </si>
  <si>
    <t>EMV-19-2019</t>
  </si>
  <si>
    <t>BN-19-2019</t>
  </si>
  <si>
    <t>EMV-24-2019</t>
  </si>
  <si>
    <t>KOLOVOZ 2019.</t>
  </si>
  <si>
    <t>EMV-20-2019</t>
  </si>
  <si>
    <t>USLUGE ČIŠĆENJA</t>
  </si>
  <si>
    <t>BN-27-2019</t>
  </si>
  <si>
    <t>BN-32-2019</t>
  </si>
  <si>
    <t>EMV-28-2019</t>
  </si>
  <si>
    <t>STUDENI 2019.</t>
  </si>
  <si>
    <t>LABORATORIJSKA PLASTIKA - EPRUVETE ZA URIN, POSUDICE ZA STOLICU, ČEPOVI ZA EPRUVETE, VREĆE ZA STOMAHER, EZE</t>
  </si>
  <si>
    <t>LABORATORIJSKA PLASTIKA - CILINDRI, ČAŠE, LIJEVCI, BOCE ŠTRCALJKE, KANISTRI I STALCI</t>
  </si>
  <si>
    <t>BN-23-2019</t>
  </si>
  <si>
    <t>BN-31-2019</t>
  </si>
  <si>
    <t>BN-26-2019</t>
  </si>
  <si>
    <t>ECD detektor za uređaj plinski kromatograf Shimadzu inv. broj 15939</t>
  </si>
  <si>
    <t>BN-35-2019</t>
  </si>
  <si>
    <t>Popravak ICP MS-a Elan uređaja, inv.broj 11829</t>
  </si>
  <si>
    <t>BN-36-2019</t>
  </si>
  <si>
    <t>IZNOŠENJE I ODVOZ SMEĆA - ZBRINJAVANJE OTPISANOG INVENTARA S ISPOSTAVA ZAVODA</t>
  </si>
  <si>
    <t>BN-37-2019</t>
  </si>
  <si>
    <t>90513200-8</t>
  </si>
  <si>
    <t>72252000-6</t>
  </si>
  <si>
    <t>LICENCE - OBNOVA LICENCE ZA MICROSOFT CLOUD RJEŠENJE VEZANO ZA ODRŽAVANJE GIS APLIKACIJE EKO KARTE</t>
  </si>
  <si>
    <t>BM-33-2019</t>
  </si>
  <si>
    <t xml:space="preserve">SLUŽBENA, RADNA I ZAŠTITNA ODJEĆA ZA RAD NA OTVORENOM I ZAŠTITA OČIJU </t>
  </si>
  <si>
    <t>18100000-0</t>
  </si>
  <si>
    <t>BN-39-2019</t>
  </si>
  <si>
    <t>BN-38-2019</t>
  </si>
  <si>
    <t>BN-41-2019</t>
  </si>
  <si>
    <t>Godišnji servis i popravak instrumenta Waters, inv. broj: 15165</t>
  </si>
  <si>
    <t>MEDIJSKA PROMOCIJA PROGRAMA "PREVENCIJA HPV INFEKCIJA I DRUGIH SPOLNO PRENOSIVIH BOLESTI"</t>
  </si>
  <si>
    <t>79342200-5</t>
  </si>
  <si>
    <t>BN-42-2019</t>
  </si>
  <si>
    <t>LICENCE</t>
  </si>
  <si>
    <t>POVEĆANJE / SMANJENJE
UV 29
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</si>
</sst>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002060"/>
      <name val="Calibri Light"/>
      <family val="2"/>
      <charset val="238"/>
      <scheme val="major"/>
    </font>
    <font>
      <b/>
      <sz val="11"/>
      <color rgb="FF002060"/>
      <name val="Calibri"/>
      <family val="2"/>
      <charset val="238"/>
      <scheme val="minor"/>
    </font>
    <font>
      <b/>
      <sz val="9"/>
      <color theme="8" tint="-0.499984740745262"/>
      <name val="Calibri Light"/>
      <family val="2"/>
      <charset val="238"/>
    </font>
    <font>
      <sz val="9"/>
      <color theme="8" tint="-0.499984740745262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/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3" fontId="4" fillId="5" borderId="3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3" fontId="4" fillId="5" borderId="6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7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3" fontId="4" fillId="6" borderId="6" xfId="0" applyNumberFormat="1" applyFont="1" applyFill="1" applyBorder="1" applyAlignment="1">
      <alignment horizontal="right" vertical="center"/>
    </xf>
    <xf numFmtId="3" fontId="4" fillId="6" borderId="7" xfId="0" applyNumberFormat="1" applyFont="1" applyFill="1" applyBorder="1" applyAlignment="1">
      <alignment horizontal="right" vertical="center"/>
    </xf>
    <xf numFmtId="49" fontId="4" fillId="5" borderId="6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17" fontId="4" fillId="5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7" fontId="5" fillId="2" borderId="6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7" fontId="4" fillId="4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 wrapText="1"/>
    </xf>
    <xf numFmtId="3" fontId="4" fillId="6" borderId="15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5"/>
  <sheetViews>
    <sheetView tabSelected="1" topLeftCell="E1" zoomScaleNormal="100" workbookViewId="0">
      <pane ySplit="4" topLeftCell="A10" activePane="bottomLeft" state="frozen"/>
      <selection pane="bottomLeft" activeCell="V4" sqref="V4"/>
    </sheetView>
  </sheetViews>
  <sheetFormatPr defaultRowHeight="24.95" customHeight="1" x14ac:dyDescent="0.25"/>
  <cols>
    <col min="1" max="1" width="12.140625" style="1" customWidth="1"/>
    <col min="2" max="2" width="12" style="2" customWidth="1"/>
    <col min="3" max="4" width="15.7109375" style="1" customWidth="1"/>
    <col min="5" max="7" width="10.7109375" style="1" customWidth="1"/>
    <col min="8" max="8" width="40.7109375" style="1" customWidth="1"/>
    <col min="9" max="12" width="14" style="1" customWidth="1"/>
    <col min="13" max="13" width="12.7109375" style="1" customWidth="1"/>
    <col min="14" max="14" width="12.7109375" style="3" customWidth="1"/>
    <col min="15" max="15" width="30.7109375" style="1" customWidth="1"/>
    <col min="16" max="16384" width="9.140625" style="1"/>
  </cols>
  <sheetData>
    <row r="1" spans="1:15" ht="15" customHeight="1" x14ac:dyDescent="0.25"/>
    <row r="2" spans="1:15" ht="24.95" customHeight="1" thickBot="1" x14ac:dyDescent="0.3">
      <c r="A2" s="117" t="s">
        <v>344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5" customHeight="1" thickTop="1" thickBot="1" x14ac:dyDescent="0.3"/>
    <row r="4" spans="1:15" ht="61.5" thickTop="1" thickBot="1" x14ac:dyDescent="0.3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1" t="s">
        <v>239</v>
      </c>
      <c r="J4" s="11" t="s">
        <v>324</v>
      </c>
      <c r="K4" s="11" t="s">
        <v>397</v>
      </c>
      <c r="L4" s="11" t="s">
        <v>303</v>
      </c>
      <c r="M4" s="11" t="s">
        <v>222</v>
      </c>
      <c r="N4" s="13" t="s">
        <v>9</v>
      </c>
      <c r="O4" s="14" t="s">
        <v>10</v>
      </c>
    </row>
    <row r="5" spans="1:15" ht="24.95" customHeight="1" thickTop="1" x14ac:dyDescent="0.25">
      <c r="A5" s="15"/>
      <c r="B5" s="16"/>
      <c r="C5" s="17"/>
      <c r="D5" s="17"/>
      <c r="E5" s="17"/>
      <c r="F5" s="17"/>
      <c r="G5" s="18">
        <v>32211</v>
      </c>
      <c r="H5" s="19" t="s">
        <v>11</v>
      </c>
      <c r="I5" s="20">
        <f>SUM(I6:I7)</f>
        <v>460000</v>
      </c>
      <c r="J5" s="20">
        <f t="shared" ref="J5:N5" si="0">SUM(J6:J7)</f>
        <v>0</v>
      </c>
      <c r="K5" s="20">
        <f t="shared" si="0"/>
        <v>0</v>
      </c>
      <c r="L5" s="20">
        <f t="shared" si="0"/>
        <v>460000</v>
      </c>
      <c r="M5" s="20">
        <f t="shared" si="0"/>
        <v>575000</v>
      </c>
      <c r="N5" s="20">
        <f t="shared" si="0"/>
        <v>539350</v>
      </c>
      <c r="O5" s="21"/>
    </row>
    <row r="6" spans="1:15" ht="24" x14ac:dyDescent="0.25">
      <c r="A6" s="22"/>
      <c r="B6" s="23" t="s">
        <v>240</v>
      </c>
      <c r="C6" s="24" t="s">
        <v>12</v>
      </c>
      <c r="D6" s="24"/>
      <c r="E6" s="24"/>
      <c r="F6" s="24"/>
      <c r="G6" s="25"/>
      <c r="H6" s="26" t="s">
        <v>11</v>
      </c>
      <c r="I6" s="27">
        <v>190000</v>
      </c>
      <c r="J6" s="27">
        <v>0</v>
      </c>
      <c r="K6" s="27">
        <v>0</v>
      </c>
      <c r="L6" s="27">
        <f>SUM(I6:K6)</f>
        <v>190000</v>
      </c>
      <c r="M6" s="27">
        <f>L6*1.25</f>
        <v>237500</v>
      </c>
      <c r="N6" s="27">
        <f>L6*1.1725</f>
        <v>222775.00000000003</v>
      </c>
      <c r="O6" s="28" t="s">
        <v>13</v>
      </c>
    </row>
    <row r="7" spans="1:15" ht="30.75" customHeight="1" x14ac:dyDescent="0.25">
      <c r="A7" s="22"/>
      <c r="B7" s="29">
        <v>30125000</v>
      </c>
      <c r="C7" s="24" t="s">
        <v>14</v>
      </c>
      <c r="D7" s="24" t="s">
        <v>15</v>
      </c>
      <c r="E7" s="30" t="s">
        <v>241</v>
      </c>
      <c r="F7" s="24" t="s">
        <v>16</v>
      </c>
      <c r="G7" s="25"/>
      <c r="H7" s="26" t="s">
        <v>17</v>
      </c>
      <c r="I7" s="27">
        <v>270000</v>
      </c>
      <c r="J7" s="27">
        <v>0</v>
      </c>
      <c r="K7" s="27">
        <v>0</v>
      </c>
      <c r="L7" s="27">
        <f>SUM(I7:K7)</f>
        <v>270000</v>
      </c>
      <c r="M7" s="27">
        <f>L7*1.25</f>
        <v>337500</v>
      </c>
      <c r="N7" s="27">
        <f>L7*1.1725</f>
        <v>316575</v>
      </c>
      <c r="O7" s="28" t="s">
        <v>13</v>
      </c>
    </row>
    <row r="8" spans="1:15" ht="34.5" customHeight="1" x14ac:dyDescent="0.25">
      <c r="A8" s="31"/>
      <c r="B8" s="32">
        <v>39830000</v>
      </c>
      <c r="C8" s="33" t="s">
        <v>12</v>
      </c>
      <c r="D8" s="33"/>
      <c r="E8" s="33"/>
      <c r="F8" s="33"/>
      <c r="G8" s="34">
        <v>32214</v>
      </c>
      <c r="H8" s="35" t="s">
        <v>18</v>
      </c>
      <c r="I8" s="36">
        <v>130000</v>
      </c>
      <c r="J8" s="36">
        <v>0</v>
      </c>
      <c r="K8" s="36">
        <v>0</v>
      </c>
      <c r="L8" s="36">
        <f>SUM(I8:K8)</f>
        <v>130000</v>
      </c>
      <c r="M8" s="36">
        <f>L8*1.25</f>
        <v>162500</v>
      </c>
      <c r="N8" s="37">
        <f>L8*1.1725</f>
        <v>152425</v>
      </c>
      <c r="O8" s="38" t="s">
        <v>126</v>
      </c>
    </row>
    <row r="9" spans="1:15" ht="24.95" customHeight="1" x14ac:dyDescent="0.25">
      <c r="A9" s="31"/>
      <c r="B9" s="32"/>
      <c r="C9" s="33"/>
      <c r="D9" s="33"/>
      <c r="E9" s="33"/>
      <c r="F9" s="33"/>
      <c r="G9" s="34">
        <v>32216</v>
      </c>
      <c r="H9" s="35" t="s">
        <v>19</v>
      </c>
      <c r="I9" s="36">
        <f>SUM(I10:I11)</f>
        <v>849000</v>
      </c>
      <c r="J9" s="36">
        <f t="shared" ref="J9:N9" si="1">SUM(J10:J11)</f>
        <v>0</v>
      </c>
      <c r="K9" s="36">
        <f t="shared" si="1"/>
        <v>0</v>
      </c>
      <c r="L9" s="36">
        <f t="shared" si="1"/>
        <v>849000</v>
      </c>
      <c r="M9" s="36">
        <f t="shared" si="1"/>
        <v>1061250</v>
      </c>
      <c r="N9" s="36">
        <f t="shared" si="1"/>
        <v>614390.00000000012</v>
      </c>
      <c r="O9" s="38"/>
    </row>
    <row r="10" spans="1:15" s="4" customFormat="1" ht="28.5" customHeight="1" x14ac:dyDescent="0.25">
      <c r="A10" s="39"/>
      <c r="B10" s="40">
        <v>33140000</v>
      </c>
      <c r="C10" s="41" t="s">
        <v>14</v>
      </c>
      <c r="D10" s="41" t="s">
        <v>223</v>
      </c>
      <c r="E10" s="42"/>
      <c r="F10" s="41" t="s">
        <v>20</v>
      </c>
      <c r="G10" s="43">
        <v>3221614</v>
      </c>
      <c r="H10" s="44" t="s">
        <v>21</v>
      </c>
      <c r="I10" s="45">
        <f>325000*2</f>
        <v>650000</v>
      </c>
      <c r="J10" s="45">
        <v>0</v>
      </c>
      <c r="K10" s="45">
        <v>0</v>
      </c>
      <c r="L10" s="45">
        <f>SUM(I10:K10)</f>
        <v>650000</v>
      </c>
      <c r="M10" s="45">
        <f t="shared" ref="M10:M11" si="2">L10*1.25</f>
        <v>812500</v>
      </c>
      <c r="N10" s="45">
        <f>L10*1.1725/2</f>
        <v>381062.50000000006</v>
      </c>
      <c r="O10" s="46" t="s">
        <v>13</v>
      </c>
    </row>
    <row r="11" spans="1:15" s="4" customFormat="1" ht="28.5" customHeight="1" x14ac:dyDescent="0.25">
      <c r="A11" s="39"/>
      <c r="B11" s="40">
        <v>33760000</v>
      </c>
      <c r="C11" s="41" t="s">
        <v>12</v>
      </c>
      <c r="D11" s="41"/>
      <c r="E11" s="41"/>
      <c r="F11" s="41"/>
      <c r="G11" s="43">
        <v>3221615</v>
      </c>
      <c r="H11" s="44" t="s">
        <v>22</v>
      </c>
      <c r="I11" s="45">
        <v>199000</v>
      </c>
      <c r="J11" s="45">
        <v>0</v>
      </c>
      <c r="K11" s="45">
        <v>0</v>
      </c>
      <c r="L11" s="45">
        <f>SUM(I11:K11)</f>
        <v>199000</v>
      </c>
      <c r="M11" s="45">
        <f t="shared" si="2"/>
        <v>248750</v>
      </c>
      <c r="N11" s="45">
        <f t="shared" ref="N11" si="3">L11*1.1725</f>
        <v>233327.50000000003</v>
      </c>
      <c r="O11" s="46" t="s">
        <v>13</v>
      </c>
    </row>
    <row r="12" spans="1:15" ht="24.95" customHeight="1" x14ac:dyDescent="0.25">
      <c r="A12" s="47"/>
      <c r="B12" s="48"/>
      <c r="C12" s="49"/>
      <c r="D12" s="49"/>
      <c r="E12" s="49"/>
      <c r="F12" s="49"/>
      <c r="G12" s="50">
        <v>32221</v>
      </c>
      <c r="H12" s="51" t="s">
        <v>23</v>
      </c>
      <c r="I12" s="52">
        <f>I13+I31+I36+I48+I51+I63+I70+I84+I85+I86+I87+I91+I97+I98+I99+I106+I111+I113+I116+I117+I118+I123</f>
        <v>11046000</v>
      </c>
      <c r="J12" s="52">
        <f t="shared" ref="J12:N12" si="4">J13+J31+J36+J48+J51+J63+J70+J84+J85+J86+J87+J91+J97+J98+J99+J106+J111+J113+J116+J117+J118+J123</f>
        <v>56000</v>
      </c>
      <c r="K12" s="52">
        <f t="shared" si="4"/>
        <v>-267000</v>
      </c>
      <c r="L12" s="52">
        <f t="shared" si="4"/>
        <v>10835000</v>
      </c>
      <c r="M12" s="52">
        <f t="shared" si="4"/>
        <v>13543750</v>
      </c>
      <c r="N12" s="52">
        <f>N13+N31+N36+N48+N51+N63+N70+N84+N85+N86+N87+N91+N97+N98+N99+N106+N111+N113+N116+N117+N118+N123+N112</f>
        <v>12258550</v>
      </c>
      <c r="O12" s="53"/>
    </row>
    <row r="13" spans="1:15" s="4" customFormat="1" ht="24" x14ac:dyDescent="0.25">
      <c r="A13" s="31" t="s">
        <v>304</v>
      </c>
      <c r="B13" s="32" t="s">
        <v>242</v>
      </c>
      <c r="C13" s="33" t="s">
        <v>14</v>
      </c>
      <c r="D13" s="33" t="s">
        <v>15</v>
      </c>
      <c r="E13" s="54" t="s">
        <v>305</v>
      </c>
      <c r="F13" s="33" t="s">
        <v>16</v>
      </c>
      <c r="G13" s="34">
        <v>3222102</v>
      </c>
      <c r="H13" s="35" t="s">
        <v>24</v>
      </c>
      <c r="I13" s="36">
        <f>SUM(I14:I30)</f>
        <v>910000</v>
      </c>
      <c r="J13" s="36">
        <f t="shared" ref="J13:N13" si="5">SUM(J14:J30)</f>
        <v>54000</v>
      </c>
      <c r="K13" s="36">
        <f t="shared" si="5"/>
        <v>0</v>
      </c>
      <c r="L13" s="36">
        <f t="shared" si="5"/>
        <v>964000</v>
      </c>
      <c r="M13" s="36">
        <f t="shared" si="5"/>
        <v>1205000</v>
      </c>
      <c r="N13" s="36">
        <f t="shared" si="5"/>
        <v>1205000</v>
      </c>
      <c r="O13" s="38" t="s">
        <v>13</v>
      </c>
    </row>
    <row r="14" spans="1:15" ht="24.95" customHeight="1" x14ac:dyDescent="0.25">
      <c r="A14" s="22"/>
      <c r="B14" s="23"/>
      <c r="C14" s="24"/>
      <c r="D14" s="24"/>
      <c r="E14" s="24"/>
      <c r="F14" s="24"/>
      <c r="G14" s="25"/>
      <c r="H14" s="26" t="s">
        <v>25</v>
      </c>
      <c r="I14" s="45">
        <v>150000</v>
      </c>
      <c r="J14" s="45">
        <v>20000</v>
      </c>
      <c r="K14" s="45">
        <v>0</v>
      </c>
      <c r="L14" s="45">
        <f>SUM(I14:K14)</f>
        <v>170000</v>
      </c>
      <c r="M14" s="55">
        <f t="shared" ref="M14:M30" si="6">L14*1.25</f>
        <v>212500</v>
      </c>
      <c r="N14" s="45">
        <f>M14</f>
        <v>212500</v>
      </c>
      <c r="O14" s="28"/>
    </row>
    <row r="15" spans="1:15" ht="24.95" customHeight="1" x14ac:dyDescent="0.25">
      <c r="A15" s="22"/>
      <c r="B15" s="23"/>
      <c r="C15" s="24"/>
      <c r="D15" s="24"/>
      <c r="E15" s="24"/>
      <c r="F15" s="24"/>
      <c r="G15" s="25"/>
      <c r="H15" s="26" t="s">
        <v>26</v>
      </c>
      <c r="I15" s="45">
        <v>8000</v>
      </c>
      <c r="J15" s="45">
        <v>-2500</v>
      </c>
      <c r="K15" s="45">
        <v>0</v>
      </c>
      <c r="L15" s="45">
        <f t="shared" ref="L15:L30" si="7">SUM(I15:K15)</f>
        <v>5500</v>
      </c>
      <c r="M15" s="55">
        <f t="shared" si="6"/>
        <v>6875</v>
      </c>
      <c r="N15" s="45">
        <f t="shared" ref="N15:N30" si="8">M15</f>
        <v>6875</v>
      </c>
      <c r="O15" s="28"/>
    </row>
    <row r="16" spans="1:15" ht="24.95" customHeight="1" x14ac:dyDescent="0.25">
      <c r="A16" s="22"/>
      <c r="B16" s="23"/>
      <c r="C16" s="24"/>
      <c r="D16" s="24"/>
      <c r="E16" s="24"/>
      <c r="F16" s="24"/>
      <c r="G16" s="25"/>
      <c r="H16" s="26" t="s">
        <v>27</v>
      </c>
      <c r="I16" s="45">
        <v>75000</v>
      </c>
      <c r="J16" s="45">
        <v>0</v>
      </c>
      <c r="K16" s="45">
        <v>0</v>
      </c>
      <c r="L16" s="45">
        <f t="shared" si="7"/>
        <v>75000</v>
      </c>
      <c r="M16" s="55">
        <f t="shared" si="6"/>
        <v>93750</v>
      </c>
      <c r="N16" s="45">
        <f t="shared" si="8"/>
        <v>93750</v>
      </c>
      <c r="O16" s="28"/>
    </row>
    <row r="17" spans="1:15" ht="24.95" customHeight="1" x14ac:dyDescent="0.25">
      <c r="A17" s="22"/>
      <c r="B17" s="23"/>
      <c r="C17" s="24"/>
      <c r="D17" s="24"/>
      <c r="E17" s="24"/>
      <c r="F17" s="24"/>
      <c r="G17" s="25"/>
      <c r="H17" s="26" t="s">
        <v>28</v>
      </c>
      <c r="I17" s="45">
        <v>135000</v>
      </c>
      <c r="J17" s="45">
        <v>-15000</v>
      </c>
      <c r="K17" s="45">
        <v>0</v>
      </c>
      <c r="L17" s="45">
        <f t="shared" si="7"/>
        <v>120000</v>
      </c>
      <c r="M17" s="55">
        <f t="shared" si="6"/>
        <v>150000</v>
      </c>
      <c r="N17" s="45">
        <f t="shared" si="8"/>
        <v>150000</v>
      </c>
      <c r="O17" s="28"/>
    </row>
    <row r="18" spans="1:15" ht="24.95" customHeight="1" x14ac:dyDescent="0.25">
      <c r="A18" s="22"/>
      <c r="B18" s="23"/>
      <c r="C18" s="24"/>
      <c r="D18" s="24"/>
      <c r="E18" s="24"/>
      <c r="F18" s="24"/>
      <c r="G18" s="25"/>
      <c r="H18" s="26" t="s">
        <v>29</v>
      </c>
      <c r="I18" s="45">
        <v>172000</v>
      </c>
      <c r="J18" s="45">
        <v>0</v>
      </c>
      <c r="K18" s="45">
        <v>0</v>
      </c>
      <c r="L18" s="45">
        <f t="shared" si="7"/>
        <v>172000</v>
      </c>
      <c r="M18" s="55">
        <f t="shared" si="6"/>
        <v>215000</v>
      </c>
      <c r="N18" s="45">
        <f t="shared" si="8"/>
        <v>215000</v>
      </c>
      <c r="O18" s="28"/>
    </row>
    <row r="19" spans="1:15" ht="24.95" customHeight="1" x14ac:dyDescent="0.25">
      <c r="A19" s="22"/>
      <c r="B19" s="23"/>
      <c r="C19" s="24"/>
      <c r="D19" s="24"/>
      <c r="E19" s="24"/>
      <c r="F19" s="24"/>
      <c r="G19" s="25"/>
      <c r="H19" s="26" t="s">
        <v>30</v>
      </c>
      <c r="I19" s="45">
        <v>115000</v>
      </c>
      <c r="J19" s="45">
        <v>0</v>
      </c>
      <c r="K19" s="45">
        <v>0</v>
      </c>
      <c r="L19" s="45">
        <f t="shared" si="7"/>
        <v>115000</v>
      </c>
      <c r="M19" s="55">
        <f t="shared" si="6"/>
        <v>143750</v>
      </c>
      <c r="N19" s="45">
        <f t="shared" si="8"/>
        <v>143750</v>
      </c>
      <c r="O19" s="28"/>
    </row>
    <row r="20" spans="1:15" ht="24.95" customHeight="1" x14ac:dyDescent="0.25">
      <c r="A20" s="22"/>
      <c r="B20" s="23"/>
      <c r="C20" s="24"/>
      <c r="D20" s="24"/>
      <c r="E20" s="24"/>
      <c r="F20" s="24"/>
      <c r="G20" s="25"/>
      <c r="H20" s="26" t="s">
        <v>31</v>
      </c>
      <c r="I20" s="45">
        <v>17000</v>
      </c>
      <c r="J20" s="45">
        <v>0</v>
      </c>
      <c r="K20" s="45">
        <v>0</v>
      </c>
      <c r="L20" s="45">
        <f t="shared" si="7"/>
        <v>17000</v>
      </c>
      <c r="M20" s="55">
        <f t="shared" si="6"/>
        <v>21250</v>
      </c>
      <c r="N20" s="45">
        <f t="shared" si="8"/>
        <v>21250</v>
      </c>
      <c r="O20" s="28"/>
    </row>
    <row r="21" spans="1:15" ht="24.95" customHeight="1" x14ac:dyDescent="0.25">
      <c r="A21" s="22"/>
      <c r="B21" s="23"/>
      <c r="C21" s="24"/>
      <c r="D21" s="24"/>
      <c r="E21" s="24"/>
      <c r="F21" s="24"/>
      <c r="G21" s="25"/>
      <c r="H21" s="26" t="s">
        <v>321</v>
      </c>
      <c r="I21" s="45">
        <v>0</v>
      </c>
      <c r="J21" s="45">
        <v>50000</v>
      </c>
      <c r="K21" s="45">
        <v>0</v>
      </c>
      <c r="L21" s="45">
        <f t="shared" si="7"/>
        <v>50000</v>
      </c>
      <c r="M21" s="55">
        <f t="shared" si="6"/>
        <v>62500</v>
      </c>
      <c r="N21" s="45">
        <f t="shared" si="8"/>
        <v>62500</v>
      </c>
      <c r="O21" s="28"/>
    </row>
    <row r="22" spans="1:15" ht="24.95" customHeight="1" x14ac:dyDescent="0.25">
      <c r="A22" s="22"/>
      <c r="B22" s="23"/>
      <c r="C22" s="24"/>
      <c r="D22" s="24"/>
      <c r="E22" s="24"/>
      <c r="F22" s="24"/>
      <c r="G22" s="25"/>
      <c r="H22" s="26" t="s">
        <v>32</v>
      </c>
      <c r="I22" s="45">
        <v>115000</v>
      </c>
      <c r="J22" s="45">
        <v>0</v>
      </c>
      <c r="K22" s="45">
        <v>0</v>
      </c>
      <c r="L22" s="45">
        <f t="shared" si="7"/>
        <v>115000</v>
      </c>
      <c r="M22" s="55">
        <f t="shared" si="6"/>
        <v>143750</v>
      </c>
      <c r="N22" s="45">
        <f t="shared" si="8"/>
        <v>143750</v>
      </c>
      <c r="O22" s="28"/>
    </row>
    <row r="23" spans="1:15" ht="24.95" customHeight="1" x14ac:dyDescent="0.25">
      <c r="A23" s="22"/>
      <c r="B23" s="23"/>
      <c r="C23" s="24"/>
      <c r="D23" s="24"/>
      <c r="E23" s="24"/>
      <c r="F23" s="24"/>
      <c r="G23" s="25"/>
      <c r="H23" s="26" t="s">
        <v>33</v>
      </c>
      <c r="I23" s="45">
        <v>25000</v>
      </c>
      <c r="J23" s="45">
        <v>0</v>
      </c>
      <c r="K23" s="45">
        <v>0</v>
      </c>
      <c r="L23" s="45">
        <f t="shared" si="7"/>
        <v>25000</v>
      </c>
      <c r="M23" s="55">
        <f t="shared" si="6"/>
        <v>31250</v>
      </c>
      <c r="N23" s="45">
        <f t="shared" si="8"/>
        <v>31250</v>
      </c>
      <c r="O23" s="28"/>
    </row>
    <row r="24" spans="1:15" ht="24.95" customHeight="1" x14ac:dyDescent="0.25">
      <c r="A24" s="22"/>
      <c r="B24" s="23"/>
      <c r="C24" s="24"/>
      <c r="D24" s="24"/>
      <c r="E24" s="24"/>
      <c r="F24" s="24"/>
      <c r="G24" s="25"/>
      <c r="H24" s="26" t="s">
        <v>323</v>
      </c>
      <c r="I24" s="45">
        <v>0</v>
      </c>
      <c r="J24" s="45">
        <v>20000</v>
      </c>
      <c r="K24" s="45">
        <v>0</v>
      </c>
      <c r="L24" s="45">
        <f t="shared" si="7"/>
        <v>20000</v>
      </c>
      <c r="M24" s="55">
        <f t="shared" si="6"/>
        <v>25000</v>
      </c>
      <c r="N24" s="45">
        <f t="shared" si="8"/>
        <v>25000</v>
      </c>
      <c r="O24" s="28"/>
    </row>
    <row r="25" spans="1:15" ht="24.95" customHeight="1" x14ac:dyDescent="0.25">
      <c r="A25" s="22"/>
      <c r="B25" s="23"/>
      <c r="C25" s="24"/>
      <c r="D25" s="24"/>
      <c r="E25" s="24"/>
      <c r="F25" s="24"/>
      <c r="G25" s="25"/>
      <c r="H25" s="26" t="s">
        <v>322</v>
      </c>
      <c r="I25" s="45">
        <v>22000</v>
      </c>
      <c r="J25" s="45">
        <v>-11000</v>
      </c>
      <c r="K25" s="45">
        <v>0</v>
      </c>
      <c r="L25" s="45">
        <f t="shared" si="7"/>
        <v>11000</v>
      </c>
      <c r="M25" s="55">
        <f t="shared" si="6"/>
        <v>13750</v>
      </c>
      <c r="N25" s="45">
        <f t="shared" si="8"/>
        <v>13750</v>
      </c>
      <c r="O25" s="28"/>
    </row>
    <row r="26" spans="1:15" ht="24.95" customHeight="1" x14ac:dyDescent="0.25">
      <c r="A26" s="22"/>
      <c r="B26" s="23"/>
      <c r="C26" s="24"/>
      <c r="D26" s="24"/>
      <c r="E26" s="24"/>
      <c r="F26" s="24"/>
      <c r="G26" s="25"/>
      <c r="H26" s="26" t="s">
        <v>34</v>
      </c>
      <c r="I26" s="45">
        <v>55000</v>
      </c>
      <c r="J26" s="45">
        <v>0</v>
      </c>
      <c r="K26" s="45">
        <v>0</v>
      </c>
      <c r="L26" s="45">
        <f t="shared" si="7"/>
        <v>55000</v>
      </c>
      <c r="M26" s="55">
        <f t="shared" si="6"/>
        <v>68750</v>
      </c>
      <c r="N26" s="45">
        <f t="shared" si="8"/>
        <v>68750</v>
      </c>
      <c r="O26" s="28"/>
    </row>
    <row r="27" spans="1:15" ht="24.95" customHeight="1" x14ac:dyDescent="0.25">
      <c r="A27" s="22"/>
      <c r="B27" s="23"/>
      <c r="C27" s="24"/>
      <c r="D27" s="24"/>
      <c r="E27" s="24"/>
      <c r="F27" s="24"/>
      <c r="G27" s="25"/>
      <c r="H27" s="56" t="s">
        <v>35</v>
      </c>
      <c r="I27" s="45">
        <v>2000</v>
      </c>
      <c r="J27" s="45">
        <v>0</v>
      </c>
      <c r="K27" s="45">
        <v>0</v>
      </c>
      <c r="L27" s="45">
        <f t="shared" si="7"/>
        <v>2000</v>
      </c>
      <c r="M27" s="55">
        <f t="shared" si="6"/>
        <v>2500</v>
      </c>
      <c r="N27" s="45">
        <f t="shared" si="8"/>
        <v>2500</v>
      </c>
      <c r="O27" s="28"/>
    </row>
    <row r="28" spans="1:15" ht="24.95" customHeight="1" x14ac:dyDescent="0.25">
      <c r="A28" s="22"/>
      <c r="B28" s="23"/>
      <c r="C28" s="24"/>
      <c r="D28" s="24"/>
      <c r="E28" s="24"/>
      <c r="F28" s="24"/>
      <c r="G28" s="25"/>
      <c r="H28" s="26" t="s">
        <v>36</v>
      </c>
      <c r="I28" s="45">
        <v>4000</v>
      </c>
      <c r="J28" s="45">
        <v>0</v>
      </c>
      <c r="K28" s="45">
        <v>0</v>
      </c>
      <c r="L28" s="45">
        <f t="shared" si="7"/>
        <v>4000</v>
      </c>
      <c r="M28" s="55">
        <f t="shared" si="6"/>
        <v>5000</v>
      </c>
      <c r="N28" s="45">
        <f t="shared" si="8"/>
        <v>5000</v>
      </c>
      <c r="O28" s="28"/>
    </row>
    <row r="29" spans="1:15" ht="24.95" customHeight="1" x14ac:dyDescent="0.25">
      <c r="A29" s="22"/>
      <c r="B29" s="23"/>
      <c r="C29" s="24"/>
      <c r="D29" s="24"/>
      <c r="E29" s="24"/>
      <c r="F29" s="24"/>
      <c r="G29" s="25"/>
      <c r="H29" s="26" t="s">
        <v>37</v>
      </c>
      <c r="I29" s="45">
        <v>10000</v>
      </c>
      <c r="J29" s="45">
        <v>-5000</v>
      </c>
      <c r="K29" s="45">
        <v>0</v>
      </c>
      <c r="L29" s="45">
        <f t="shared" si="7"/>
        <v>5000</v>
      </c>
      <c r="M29" s="55">
        <f t="shared" si="6"/>
        <v>6250</v>
      </c>
      <c r="N29" s="45">
        <f t="shared" si="8"/>
        <v>6250</v>
      </c>
      <c r="O29" s="28"/>
    </row>
    <row r="30" spans="1:15" ht="24.95" customHeight="1" x14ac:dyDescent="0.25">
      <c r="A30" s="22"/>
      <c r="B30" s="23"/>
      <c r="C30" s="24"/>
      <c r="D30" s="24"/>
      <c r="E30" s="24"/>
      <c r="F30" s="24"/>
      <c r="G30" s="25"/>
      <c r="H30" s="26" t="s">
        <v>38</v>
      </c>
      <c r="I30" s="45">
        <v>5000</v>
      </c>
      <c r="J30" s="45">
        <v>-2500</v>
      </c>
      <c r="K30" s="45">
        <v>0</v>
      </c>
      <c r="L30" s="45">
        <f t="shared" si="7"/>
        <v>2500</v>
      </c>
      <c r="M30" s="55">
        <f t="shared" si="6"/>
        <v>3125</v>
      </c>
      <c r="N30" s="45">
        <f t="shared" si="8"/>
        <v>3125</v>
      </c>
      <c r="O30" s="28"/>
    </row>
    <row r="31" spans="1:15" s="5" customFormat="1" ht="24.95" customHeight="1" x14ac:dyDescent="0.25">
      <c r="A31" s="31" t="s">
        <v>325</v>
      </c>
      <c r="B31" s="32" t="s">
        <v>244</v>
      </c>
      <c r="C31" s="33" t="s">
        <v>14</v>
      </c>
      <c r="D31" s="33" t="s">
        <v>223</v>
      </c>
      <c r="E31" s="33" t="s">
        <v>245</v>
      </c>
      <c r="F31" s="33" t="s">
        <v>20</v>
      </c>
      <c r="G31" s="34">
        <v>3222103</v>
      </c>
      <c r="H31" s="35" t="s">
        <v>39</v>
      </c>
      <c r="I31" s="36">
        <f>SUM(I32:I35)</f>
        <v>660000</v>
      </c>
      <c r="J31" s="36">
        <f t="shared" ref="J31:N31" si="9">SUM(J32:J35)</f>
        <v>0</v>
      </c>
      <c r="K31" s="36">
        <f t="shared" si="9"/>
        <v>0</v>
      </c>
      <c r="L31" s="36">
        <f t="shared" si="9"/>
        <v>660000</v>
      </c>
      <c r="M31" s="36">
        <f t="shared" si="9"/>
        <v>825000</v>
      </c>
      <c r="N31" s="36">
        <f t="shared" si="9"/>
        <v>330000</v>
      </c>
      <c r="O31" s="38" t="s">
        <v>13</v>
      </c>
    </row>
    <row r="32" spans="1:15" ht="24.95" customHeight="1" x14ac:dyDescent="0.25">
      <c r="A32" s="22"/>
      <c r="B32" s="23"/>
      <c r="C32" s="24"/>
      <c r="D32" s="24"/>
      <c r="E32" s="24"/>
      <c r="F32" s="24"/>
      <c r="G32" s="25"/>
      <c r="H32" s="44" t="s">
        <v>40</v>
      </c>
      <c r="I32" s="45">
        <f>111000*2</f>
        <v>222000</v>
      </c>
      <c r="J32" s="45">
        <v>0</v>
      </c>
      <c r="K32" s="45">
        <v>18000</v>
      </c>
      <c r="L32" s="45">
        <f t="shared" ref="L32:L35" si="10">SUM(I32:K32)</f>
        <v>240000</v>
      </c>
      <c r="M32" s="45">
        <f t="shared" ref="M32:M35" si="11">L32*1.25</f>
        <v>300000</v>
      </c>
      <c r="N32" s="45">
        <f>L32/2</f>
        <v>120000</v>
      </c>
      <c r="O32" s="46"/>
    </row>
    <row r="33" spans="1:15" ht="24.95" customHeight="1" x14ac:dyDescent="0.25">
      <c r="A33" s="22"/>
      <c r="B33" s="23"/>
      <c r="C33" s="24"/>
      <c r="D33" s="24"/>
      <c r="E33" s="24"/>
      <c r="F33" s="24"/>
      <c r="G33" s="25"/>
      <c r="H33" s="44" t="s">
        <v>41</v>
      </c>
      <c r="I33" s="45">
        <f>115000*2</f>
        <v>230000</v>
      </c>
      <c r="J33" s="45">
        <v>0</v>
      </c>
      <c r="K33" s="45">
        <v>-90000</v>
      </c>
      <c r="L33" s="45">
        <f t="shared" si="10"/>
        <v>140000</v>
      </c>
      <c r="M33" s="45">
        <f t="shared" si="11"/>
        <v>175000</v>
      </c>
      <c r="N33" s="45">
        <f t="shared" ref="N33:N35" si="12">L33/2</f>
        <v>70000</v>
      </c>
      <c r="O33" s="46"/>
    </row>
    <row r="34" spans="1:15" ht="24.95" customHeight="1" x14ac:dyDescent="0.25">
      <c r="A34" s="22"/>
      <c r="B34" s="23"/>
      <c r="C34" s="24"/>
      <c r="D34" s="24"/>
      <c r="E34" s="24"/>
      <c r="F34" s="24"/>
      <c r="G34" s="25"/>
      <c r="H34" s="44" t="s">
        <v>42</v>
      </c>
      <c r="I34" s="45">
        <f>85000*2</f>
        <v>170000</v>
      </c>
      <c r="J34" s="45">
        <v>0</v>
      </c>
      <c r="K34" s="45">
        <v>72000</v>
      </c>
      <c r="L34" s="45">
        <f t="shared" si="10"/>
        <v>242000</v>
      </c>
      <c r="M34" s="45">
        <f t="shared" si="11"/>
        <v>302500</v>
      </c>
      <c r="N34" s="45">
        <f t="shared" si="12"/>
        <v>121000</v>
      </c>
      <c r="O34" s="46"/>
    </row>
    <row r="35" spans="1:15" ht="24.95" customHeight="1" x14ac:dyDescent="0.25">
      <c r="A35" s="22"/>
      <c r="B35" s="23"/>
      <c r="C35" s="24"/>
      <c r="D35" s="24"/>
      <c r="E35" s="24"/>
      <c r="F35" s="24"/>
      <c r="G35" s="25"/>
      <c r="H35" s="44" t="s">
        <v>43</v>
      </c>
      <c r="I35" s="45">
        <f>19000*2</f>
        <v>38000</v>
      </c>
      <c r="J35" s="45">
        <v>0</v>
      </c>
      <c r="K35" s="45">
        <v>0</v>
      </c>
      <c r="L35" s="45">
        <f t="shared" si="10"/>
        <v>38000</v>
      </c>
      <c r="M35" s="45">
        <f t="shared" si="11"/>
        <v>47500</v>
      </c>
      <c r="N35" s="45">
        <f t="shared" si="12"/>
        <v>19000</v>
      </c>
      <c r="O35" s="46"/>
    </row>
    <row r="36" spans="1:15" ht="24.95" customHeight="1" x14ac:dyDescent="0.25">
      <c r="A36" s="31"/>
      <c r="B36" s="32" t="s">
        <v>247</v>
      </c>
      <c r="C36" s="33" t="s">
        <v>14</v>
      </c>
      <c r="D36" s="33" t="s">
        <v>15</v>
      </c>
      <c r="E36" s="54" t="s">
        <v>246</v>
      </c>
      <c r="F36" s="33" t="s">
        <v>16</v>
      </c>
      <c r="G36" s="34">
        <v>3222141</v>
      </c>
      <c r="H36" s="35" t="s">
        <v>44</v>
      </c>
      <c r="I36" s="36">
        <f>SUM(I37:I47)</f>
        <v>250000</v>
      </c>
      <c r="J36" s="36">
        <f t="shared" ref="J36:N36" si="13">SUM(J37:J47)</f>
        <v>0</v>
      </c>
      <c r="K36" s="36">
        <f t="shared" si="13"/>
        <v>0</v>
      </c>
      <c r="L36" s="36">
        <f t="shared" si="13"/>
        <v>250000</v>
      </c>
      <c r="M36" s="36">
        <f t="shared" si="13"/>
        <v>312500</v>
      </c>
      <c r="N36" s="36">
        <f t="shared" si="13"/>
        <v>250000</v>
      </c>
      <c r="O36" s="38" t="s">
        <v>13</v>
      </c>
    </row>
    <row r="37" spans="1:15" ht="24.95" customHeight="1" x14ac:dyDescent="0.25">
      <c r="A37" s="22"/>
      <c r="B37" s="23"/>
      <c r="C37" s="24"/>
      <c r="D37" s="24"/>
      <c r="E37" s="24"/>
      <c r="F37" s="24"/>
      <c r="G37" s="25"/>
      <c r="H37" s="26" t="s">
        <v>45</v>
      </c>
      <c r="I37" s="27">
        <v>35000</v>
      </c>
      <c r="J37" s="27">
        <v>0</v>
      </c>
      <c r="K37" s="27">
        <v>0</v>
      </c>
      <c r="L37" s="27">
        <f t="shared" ref="L37:L47" si="14">SUM(I37:K37)</f>
        <v>35000</v>
      </c>
      <c r="M37" s="27">
        <f t="shared" ref="M37:M47" si="15">L37*1.25</f>
        <v>43750</v>
      </c>
      <c r="N37" s="27">
        <f>L37</f>
        <v>35000</v>
      </c>
      <c r="O37" s="28"/>
    </row>
    <row r="38" spans="1:15" ht="24.95" customHeight="1" x14ac:dyDescent="0.25">
      <c r="A38" s="22"/>
      <c r="B38" s="23"/>
      <c r="C38" s="24"/>
      <c r="D38" s="24"/>
      <c r="E38" s="24"/>
      <c r="F38" s="24"/>
      <c r="G38" s="25"/>
      <c r="H38" s="26" t="s">
        <v>46</v>
      </c>
      <c r="I38" s="27">
        <v>3000</v>
      </c>
      <c r="J38" s="27">
        <v>0</v>
      </c>
      <c r="K38" s="27">
        <v>0</v>
      </c>
      <c r="L38" s="27">
        <f t="shared" si="14"/>
        <v>3000</v>
      </c>
      <c r="M38" s="27">
        <f t="shared" si="15"/>
        <v>3750</v>
      </c>
      <c r="N38" s="27">
        <f t="shared" ref="N38:N47" si="16">L38</f>
        <v>3000</v>
      </c>
      <c r="O38" s="28"/>
    </row>
    <row r="39" spans="1:15" ht="24.95" customHeight="1" x14ac:dyDescent="0.25">
      <c r="A39" s="22"/>
      <c r="B39" s="23"/>
      <c r="C39" s="24"/>
      <c r="D39" s="24"/>
      <c r="E39" s="24"/>
      <c r="F39" s="24"/>
      <c r="G39" s="25"/>
      <c r="H39" s="26" t="s">
        <v>47</v>
      </c>
      <c r="I39" s="27">
        <v>14000</v>
      </c>
      <c r="J39" s="4">
        <v>0</v>
      </c>
      <c r="K39" s="27">
        <v>0</v>
      </c>
      <c r="L39" s="27">
        <f t="shared" si="14"/>
        <v>14000</v>
      </c>
      <c r="M39" s="27">
        <f t="shared" si="15"/>
        <v>17500</v>
      </c>
      <c r="N39" s="27">
        <f t="shared" si="16"/>
        <v>14000</v>
      </c>
      <c r="O39" s="28"/>
    </row>
    <row r="40" spans="1:15" ht="24.95" customHeight="1" x14ac:dyDescent="0.25">
      <c r="A40" s="22"/>
      <c r="B40" s="23"/>
      <c r="C40" s="24"/>
      <c r="D40" s="24"/>
      <c r="E40" s="24"/>
      <c r="F40" s="24"/>
      <c r="G40" s="25"/>
      <c r="H40" s="26" t="s">
        <v>48</v>
      </c>
      <c r="I40" s="27">
        <v>29000</v>
      </c>
      <c r="J40" s="27">
        <v>0</v>
      </c>
      <c r="K40" s="27">
        <v>0</v>
      </c>
      <c r="L40" s="27">
        <f t="shared" si="14"/>
        <v>29000</v>
      </c>
      <c r="M40" s="27">
        <f t="shared" si="15"/>
        <v>36250</v>
      </c>
      <c r="N40" s="27">
        <f t="shared" si="16"/>
        <v>29000</v>
      </c>
      <c r="O40" s="28"/>
    </row>
    <row r="41" spans="1:15" ht="24.95" customHeight="1" x14ac:dyDescent="0.25">
      <c r="A41" s="22"/>
      <c r="B41" s="23"/>
      <c r="C41" s="24"/>
      <c r="D41" s="24"/>
      <c r="E41" s="24"/>
      <c r="F41" s="24"/>
      <c r="G41" s="25"/>
      <c r="H41" s="26" t="s">
        <v>49</v>
      </c>
      <c r="I41" s="27">
        <v>20000</v>
      </c>
      <c r="J41" s="27">
        <v>0</v>
      </c>
      <c r="K41" s="27">
        <v>0</v>
      </c>
      <c r="L41" s="27">
        <f t="shared" si="14"/>
        <v>20000</v>
      </c>
      <c r="M41" s="27">
        <f t="shared" si="15"/>
        <v>25000</v>
      </c>
      <c r="N41" s="27">
        <f t="shared" si="16"/>
        <v>20000</v>
      </c>
      <c r="O41" s="28"/>
    </row>
    <row r="42" spans="1:15" ht="24.95" customHeight="1" x14ac:dyDescent="0.25">
      <c r="A42" s="22"/>
      <c r="B42" s="23"/>
      <c r="C42" s="24"/>
      <c r="D42" s="24"/>
      <c r="E42" s="24"/>
      <c r="F42" s="24"/>
      <c r="G42" s="25"/>
      <c r="H42" s="26" t="s">
        <v>50</v>
      </c>
      <c r="I42" s="27">
        <v>3500</v>
      </c>
      <c r="J42" s="27">
        <v>0</v>
      </c>
      <c r="K42" s="27">
        <v>0</v>
      </c>
      <c r="L42" s="27">
        <f t="shared" si="14"/>
        <v>3500</v>
      </c>
      <c r="M42" s="27">
        <f t="shared" si="15"/>
        <v>4375</v>
      </c>
      <c r="N42" s="27">
        <f t="shared" si="16"/>
        <v>3500</v>
      </c>
      <c r="O42" s="28"/>
    </row>
    <row r="43" spans="1:15" ht="24.95" customHeight="1" x14ac:dyDescent="0.25">
      <c r="A43" s="22"/>
      <c r="B43" s="23"/>
      <c r="C43" s="24"/>
      <c r="D43" s="24"/>
      <c r="E43" s="24"/>
      <c r="F43" s="24"/>
      <c r="G43" s="25"/>
      <c r="H43" s="26" t="s">
        <v>51</v>
      </c>
      <c r="I43" s="27">
        <v>15000</v>
      </c>
      <c r="J43" s="27">
        <v>0</v>
      </c>
      <c r="K43" s="27">
        <v>0</v>
      </c>
      <c r="L43" s="27">
        <f t="shared" si="14"/>
        <v>15000</v>
      </c>
      <c r="M43" s="27">
        <f t="shared" si="15"/>
        <v>18750</v>
      </c>
      <c r="N43" s="27">
        <f t="shared" si="16"/>
        <v>15000</v>
      </c>
      <c r="O43" s="28"/>
    </row>
    <row r="44" spans="1:15" ht="24.95" customHeight="1" x14ac:dyDescent="0.25">
      <c r="A44" s="22"/>
      <c r="B44" s="23"/>
      <c r="C44" s="24"/>
      <c r="D44" s="24"/>
      <c r="E44" s="24"/>
      <c r="F44" s="24"/>
      <c r="G44" s="25"/>
      <c r="H44" s="26" t="s">
        <v>52</v>
      </c>
      <c r="I44" s="27">
        <v>20000</v>
      </c>
      <c r="J44" s="27">
        <v>0</v>
      </c>
      <c r="K44" s="27">
        <v>0</v>
      </c>
      <c r="L44" s="27">
        <f t="shared" si="14"/>
        <v>20000</v>
      </c>
      <c r="M44" s="27">
        <f t="shared" si="15"/>
        <v>25000</v>
      </c>
      <c r="N44" s="27">
        <f t="shared" si="16"/>
        <v>20000</v>
      </c>
      <c r="O44" s="28"/>
    </row>
    <row r="45" spans="1:15" ht="24.95" customHeight="1" x14ac:dyDescent="0.25">
      <c r="A45" s="22"/>
      <c r="B45" s="23"/>
      <c r="C45" s="24"/>
      <c r="D45" s="24"/>
      <c r="E45" s="24"/>
      <c r="F45" s="24"/>
      <c r="G45" s="25"/>
      <c r="H45" s="26" t="s">
        <v>53</v>
      </c>
      <c r="I45" s="27">
        <v>81500</v>
      </c>
      <c r="J45" s="27">
        <v>0</v>
      </c>
      <c r="K45" s="27">
        <v>0</v>
      </c>
      <c r="L45" s="27">
        <f t="shared" si="14"/>
        <v>81500</v>
      </c>
      <c r="M45" s="27">
        <f t="shared" si="15"/>
        <v>101875</v>
      </c>
      <c r="N45" s="27">
        <f t="shared" si="16"/>
        <v>81500</v>
      </c>
      <c r="O45" s="28"/>
    </row>
    <row r="46" spans="1:15" ht="24.95" customHeight="1" x14ac:dyDescent="0.25">
      <c r="A46" s="22"/>
      <c r="B46" s="23"/>
      <c r="C46" s="24"/>
      <c r="D46" s="24"/>
      <c r="E46" s="24"/>
      <c r="F46" s="24"/>
      <c r="G46" s="25"/>
      <c r="H46" s="26" t="s">
        <v>54</v>
      </c>
      <c r="I46" s="27">
        <v>13000</v>
      </c>
      <c r="J46" s="27">
        <v>0</v>
      </c>
      <c r="K46" s="27">
        <v>0</v>
      </c>
      <c r="L46" s="27">
        <f t="shared" si="14"/>
        <v>13000</v>
      </c>
      <c r="M46" s="27">
        <f t="shared" si="15"/>
        <v>16250</v>
      </c>
      <c r="N46" s="27">
        <f t="shared" si="16"/>
        <v>13000</v>
      </c>
      <c r="O46" s="28"/>
    </row>
    <row r="47" spans="1:15" ht="24.95" customHeight="1" x14ac:dyDescent="0.25">
      <c r="A47" s="22"/>
      <c r="B47" s="23"/>
      <c r="C47" s="24"/>
      <c r="D47" s="24"/>
      <c r="E47" s="24"/>
      <c r="F47" s="24"/>
      <c r="G47" s="25"/>
      <c r="H47" s="26" t="s">
        <v>229</v>
      </c>
      <c r="I47" s="27">
        <v>16000</v>
      </c>
      <c r="J47" s="27">
        <v>0</v>
      </c>
      <c r="K47" s="27">
        <v>0</v>
      </c>
      <c r="L47" s="27">
        <f t="shared" si="14"/>
        <v>16000</v>
      </c>
      <c r="M47" s="27">
        <f t="shared" si="15"/>
        <v>20000</v>
      </c>
      <c r="N47" s="27">
        <f t="shared" si="16"/>
        <v>16000</v>
      </c>
      <c r="O47" s="28"/>
    </row>
    <row r="48" spans="1:15" ht="27.75" customHeight="1" x14ac:dyDescent="0.25">
      <c r="A48" s="31" t="s">
        <v>306</v>
      </c>
      <c r="B48" s="32" t="s">
        <v>248</v>
      </c>
      <c r="C48" s="33" t="s">
        <v>12</v>
      </c>
      <c r="D48" s="33"/>
      <c r="E48" s="33"/>
      <c r="F48" s="33"/>
      <c r="G48" s="34">
        <v>3222104</v>
      </c>
      <c r="H48" s="35" t="s">
        <v>345</v>
      </c>
      <c r="I48" s="36">
        <f>I49+I50</f>
        <v>140000</v>
      </c>
      <c r="J48" s="36">
        <f t="shared" ref="J48:N48" si="17">J49+J50</f>
        <v>0</v>
      </c>
      <c r="K48" s="36">
        <f t="shared" si="17"/>
        <v>0</v>
      </c>
      <c r="L48" s="36">
        <f t="shared" si="17"/>
        <v>140000</v>
      </c>
      <c r="M48" s="36">
        <f t="shared" si="17"/>
        <v>175000</v>
      </c>
      <c r="N48" s="36">
        <f t="shared" si="17"/>
        <v>175000</v>
      </c>
      <c r="O48" s="38" t="s">
        <v>13</v>
      </c>
    </row>
    <row r="49" spans="1:15" ht="27.75" customHeight="1" x14ac:dyDescent="0.25">
      <c r="A49" s="57"/>
      <c r="B49" s="58"/>
      <c r="C49" s="59"/>
      <c r="D49" s="59"/>
      <c r="E49" s="59"/>
      <c r="F49" s="59"/>
      <c r="G49" s="60"/>
      <c r="H49" s="61" t="s">
        <v>346</v>
      </c>
      <c r="I49" s="55">
        <v>140000</v>
      </c>
      <c r="J49" s="55">
        <v>0</v>
      </c>
      <c r="K49" s="55">
        <v>-35000</v>
      </c>
      <c r="L49" s="55">
        <f t="shared" ref="L49:L50" si="18">SUM(I49:K49)</f>
        <v>105000</v>
      </c>
      <c r="M49" s="55">
        <f t="shared" ref="M49:M50" si="19">L49*1.25</f>
        <v>131250</v>
      </c>
      <c r="N49" s="55">
        <f>M49</f>
        <v>131250</v>
      </c>
      <c r="O49" s="62"/>
    </row>
    <row r="50" spans="1:15" ht="24.95" customHeight="1" x14ac:dyDescent="0.25">
      <c r="A50" s="22"/>
      <c r="B50" s="23"/>
      <c r="C50" s="24"/>
      <c r="D50" s="24"/>
      <c r="E50" s="24"/>
      <c r="F50" s="24"/>
      <c r="G50" s="25"/>
      <c r="H50" s="26" t="s">
        <v>347</v>
      </c>
      <c r="I50" s="27">
        <v>0</v>
      </c>
      <c r="J50" s="27">
        <v>0</v>
      </c>
      <c r="K50" s="27">
        <v>35000</v>
      </c>
      <c r="L50" s="55">
        <f t="shared" si="18"/>
        <v>35000</v>
      </c>
      <c r="M50" s="27">
        <f t="shared" si="19"/>
        <v>43750</v>
      </c>
      <c r="N50" s="55">
        <f>M50</f>
        <v>43750</v>
      </c>
      <c r="O50" s="28"/>
    </row>
    <row r="51" spans="1:15" ht="30.75" customHeight="1" x14ac:dyDescent="0.25">
      <c r="A51" s="31" t="s">
        <v>307</v>
      </c>
      <c r="B51" s="32" t="s">
        <v>249</v>
      </c>
      <c r="C51" s="33" t="s">
        <v>14</v>
      </c>
      <c r="D51" s="33" t="s">
        <v>15</v>
      </c>
      <c r="E51" s="63" t="s">
        <v>243</v>
      </c>
      <c r="F51" s="33" t="s">
        <v>16</v>
      </c>
      <c r="G51" s="34">
        <v>3222105</v>
      </c>
      <c r="H51" s="35" t="s">
        <v>55</v>
      </c>
      <c r="I51" s="36">
        <f>SUM(I52:I62)</f>
        <v>880000</v>
      </c>
      <c r="J51" s="36">
        <f t="shared" ref="J51:N51" si="20">SUM(J52:J62)</f>
        <v>0</v>
      </c>
      <c r="K51" s="36">
        <f t="shared" si="20"/>
        <v>0</v>
      </c>
      <c r="L51" s="36">
        <f t="shared" si="20"/>
        <v>880000</v>
      </c>
      <c r="M51" s="36">
        <f t="shared" si="20"/>
        <v>1100000</v>
      </c>
      <c r="N51" s="36">
        <f t="shared" si="20"/>
        <v>1100000</v>
      </c>
      <c r="O51" s="38" t="s">
        <v>13</v>
      </c>
    </row>
    <row r="52" spans="1:15" ht="24.95" customHeight="1" x14ac:dyDescent="0.25">
      <c r="A52" s="22"/>
      <c r="B52" s="23"/>
      <c r="C52" s="24"/>
      <c r="D52" s="24"/>
      <c r="E52" s="24"/>
      <c r="F52" s="24"/>
      <c r="G52" s="25"/>
      <c r="H52" s="26" t="s">
        <v>56</v>
      </c>
      <c r="I52" s="27">
        <v>80000</v>
      </c>
      <c r="J52" s="27">
        <v>0</v>
      </c>
      <c r="K52" s="27">
        <v>0</v>
      </c>
      <c r="L52" s="27">
        <f t="shared" ref="L52:L62" si="21">SUM(I52:K52)</f>
        <v>80000</v>
      </c>
      <c r="M52" s="45">
        <f t="shared" ref="M52:M62" si="22">L52*1.25</f>
        <v>100000</v>
      </c>
      <c r="N52" s="27">
        <f>M52</f>
        <v>100000</v>
      </c>
      <c r="O52" s="28"/>
    </row>
    <row r="53" spans="1:15" ht="24.95" customHeight="1" x14ac:dyDescent="0.25">
      <c r="A53" s="22"/>
      <c r="B53" s="23"/>
      <c r="C53" s="24"/>
      <c r="D53" s="24"/>
      <c r="E53" s="24"/>
      <c r="F53" s="24"/>
      <c r="G53" s="25"/>
      <c r="H53" s="26" t="s">
        <v>57</v>
      </c>
      <c r="I53" s="27">
        <v>135000</v>
      </c>
      <c r="J53" s="27">
        <v>0</v>
      </c>
      <c r="K53" s="27">
        <v>0</v>
      </c>
      <c r="L53" s="27">
        <f t="shared" si="21"/>
        <v>135000</v>
      </c>
      <c r="M53" s="45">
        <f t="shared" si="22"/>
        <v>168750</v>
      </c>
      <c r="N53" s="27">
        <f t="shared" ref="N53:N62" si="23">M53</f>
        <v>168750</v>
      </c>
      <c r="O53" s="28"/>
    </row>
    <row r="54" spans="1:15" ht="24.95" customHeight="1" x14ac:dyDescent="0.25">
      <c r="A54" s="22"/>
      <c r="B54" s="23"/>
      <c r="C54" s="24"/>
      <c r="D54" s="24"/>
      <c r="E54" s="24"/>
      <c r="F54" s="24"/>
      <c r="G54" s="25"/>
      <c r="H54" s="26" t="s">
        <v>58</v>
      </c>
      <c r="I54" s="27">
        <v>25000</v>
      </c>
      <c r="J54" s="27">
        <v>0</v>
      </c>
      <c r="K54" s="27">
        <v>0</v>
      </c>
      <c r="L54" s="27">
        <f t="shared" si="21"/>
        <v>25000</v>
      </c>
      <c r="M54" s="45">
        <f t="shared" si="22"/>
        <v>31250</v>
      </c>
      <c r="N54" s="27">
        <f t="shared" si="23"/>
        <v>31250</v>
      </c>
      <c r="O54" s="28"/>
    </row>
    <row r="55" spans="1:15" ht="24.95" customHeight="1" x14ac:dyDescent="0.25">
      <c r="A55" s="22"/>
      <c r="B55" s="23"/>
      <c r="C55" s="24"/>
      <c r="D55" s="24"/>
      <c r="E55" s="24"/>
      <c r="F55" s="24"/>
      <c r="G55" s="25"/>
      <c r="H55" s="26" t="s">
        <v>59</v>
      </c>
      <c r="I55" s="27">
        <v>28000</v>
      </c>
      <c r="J55" s="27">
        <v>0</v>
      </c>
      <c r="K55" s="27">
        <v>0</v>
      </c>
      <c r="L55" s="27">
        <f t="shared" si="21"/>
        <v>28000</v>
      </c>
      <c r="M55" s="45">
        <f t="shared" si="22"/>
        <v>35000</v>
      </c>
      <c r="N55" s="27">
        <f t="shared" si="23"/>
        <v>35000</v>
      </c>
      <c r="O55" s="28"/>
    </row>
    <row r="56" spans="1:15" ht="24.95" customHeight="1" x14ac:dyDescent="0.25">
      <c r="A56" s="22"/>
      <c r="B56" s="23"/>
      <c r="C56" s="24"/>
      <c r="D56" s="24"/>
      <c r="E56" s="24"/>
      <c r="F56" s="24"/>
      <c r="G56" s="25"/>
      <c r="H56" s="26" t="s">
        <v>60</v>
      </c>
      <c r="I56" s="27">
        <v>32000</v>
      </c>
      <c r="J56" s="27">
        <v>0</v>
      </c>
      <c r="K56" s="27">
        <v>0</v>
      </c>
      <c r="L56" s="27">
        <f t="shared" si="21"/>
        <v>32000</v>
      </c>
      <c r="M56" s="45">
        <f t="shared" si="22"/>
        <v>40000</v>
      </c>
      <c r="N56" s="27">
        <f t="shared" si="23"/>
        <v>40000</v>
      </c>
      <c r="O56" s="28"/>
    </row>
    <row r="57" spans="1:15" ht="24.95" customHeight="1" x14ac:dyDescent="0.25">
      <c r="A57" s="22"/>
      <c r="B57" s="23"/>
      <c r="C57" s="24"/>
      <c r="D57" s="24"/>
      <c r="E57" s="24"/>
      <c r="F57" s="24"/>
      <c r="G57" s="25"/>
      <c r="H57" s="26" t="s">
        <v>61</v>
      </c>
      <c r="I57" s="27">
        <v>70000</v>
      </c>
      <c r="J57" s="27">
        <v>0</v>
      </c>
      <c r="K57" s="27">
        <v>0</v>
      </c>
      <c r="L57" s="27">
        <f t="shared" si="21"/>
        <v>70000</v>
      </c>
      <c r="M57" s="45">
        <f t="shared" si="22"/>
        <v>87500</v>
      </c>
      <c r="N57" s="27">
        <f t="shared" si="23"/>
        <v>87500</v>
      </c>
      <c r="O57" s="28"/>
    </row>
    <row r="58" spans="1:15" ht="24.95" customHeight="1" x14ac:dyDescent="0.25">
      <c r="A58" s="22"/>
      <c r="B58" s="23"/>
      <c r="C58" s="24"/>
      <c r="D58" s="24"/>
      <c r="E58" s="24"/>
      <c r="F58" s="24"/>
      <c r="G58" s="25"/>
      <c r="H58" s="26" t="s">
        <v>62</v>
      </c>
      <c r="I58" s="27">
        <v>70000</v>
      </c>
      <c r="J58" s="27">
        <v>0</v>
      </c>
      <c r="K58" s="27">
        <v>0</v>
      </c>
      <c r="L58" s="27">
        <f t="shared" si="21"/>
        <v>70000</v>
      </c>
      <c r="M58" s="45">
        <f t="shared" si="22"/>
        <v>87500</v>
      </c>
      <c r="N58" s="27">
        <f t="shared" si="23"/>
        <v>87500</v>
      </c>
      <c r="O58" s="28"/>
    </row>
    <row r="59" spans="1:15" ht="24.95" customHeight="1" x14ac:dyDescent="0.25">
      <c r="A59" s="22"/>
      <c r="B59" s="23"/>
      <c r="C59" s="24"/>
      <c r="D59" s="24"/>
      <c r="E59" s="24"/>
      <c r="F59" s="24"/>
      <c r="G59" s="25"/>
      <c r="H59" s="26" t="s">
        <v>63</v>
      </c>
      <c r="I59" s="27">
        <v>38000</v>
      </c>
      <c r="J59" s="27">
        <v>0</v>
      </c>
      <c r="K59" s="27">
        <v>0</v>
      </c>
      <c r="L59" s="27">
        <f t="shared" si="21"/>
        <v>38000</v>
      </c>
      <c r="M59" s="45">
        <f t="shared" si="22"/>
        <v>47500</v>
      </c>
      <c r="N59" s="27">
        <f t="shared" si="23"/>
        <v>47500</v>
      </c>
      <c r="O59" s="28"/>
    </row>
    <row r="60" spans="1:15" ht="24.95" customHeight="1" x14ac:dyDescent="0.25">
      <c r="A60" s="22"/>
      <c r="B60" s="23"/>
      <c r="C60" s="24"/>
      <c r="D60" s="24"/>
      <c r="E60" s="24"/>
      <c r="F60" s="24"/>
      <c r="G60" s="25"/>
      <c r="H60" s="26" t="s">
        <v>64</v>
      </c>
      <c r="I60" s="27">
        <v>37000</v>
      </c>
      <c r="J60" s="27">
        <v>0</v>
      </c>
      <c r="K60" s="27">
        <v>0</v>
      </c>
      <c r="L60" s="27">
        <f t="shared" si="21"/>
        <v>37000</v>
      </c>
      <c r="M60" s="45">
        <f t="shared" si="22"/>
        <v>46250</v>
      </c>
      <c r="N60" s="27">
        <f t="shared" si="23"/>
        <v>46250</v>
      </c>
      <c r="O60" s="28"/>
    </row>
    <row r="61" spans="1:15" ht="24.95" customHeight="1" x14ac:dyDescent="0.25">
      <c r="A61" s="22"/>
      <c r="B61" s="23"/>
      <c r="C61" s="24"/>
      <c r="D61" s="24"/>
      <c r="E61" s="24"/>
      <c r="F61" s="24"/>
      <c r="G61" s="25"/>
      <c r="H61" s="26" t="s">
        <v>250</v>
      </c>
      <c r="I61" s="27">
        <v>310000</v>
      </c>
      <c r="J61" s="27">
        <v>0</v>
      </c>
      <c r="K61" s="27">
        <v>0</v>
      </c>
      <c r="L61" s="27">
        <f t="shared" si="21"/>
        <v>310000</v>
      </c>
      <c r="M61" s="45">
        <f t="shared" si="22"/>
        <v>387500</v>
      </c>
      <c r="N61" s="27">
        <f t="shared" si="23"/>
        <v>387500</v>
      </c>
      <c r="O61" s="28"/>
    </row>
    <row r="62" spans="1:15" ht="24.95" customHeight="1" x14ac:dyDescent="0.25">
      <c r="A62" s="22"/>
      <c r="B62" s="23"/>
      <c r="C62" s="24"/>
      <c r="D62" s="24"/>
      <c r="E62" s="24"/>
      <c r="F62" s="24"/>
      <c r="G62" s="25"/>
      <c r="H62" s="26" t="s">
        <v>290</v>
      </c>
      <c r="I62" s="27">
        <v>55000</v>
      </c>
      <c r="J62" s="27">
        <v>0</v>
      </c>
      <c r="K62" s="27">
        <v>0</v>
      </c>
      <c r="L62" s="27">
        <f t="shared" si="21"/>
        <v>55000</v>
      </c>
      <c r="M62" s="45">
        <f t="shared" si="22"/>
        <v>68750</v>
      </c>
      <c r="N62" s="27">
        <f t="shared" si="23"/>
        <v>68750</v>
      </c>
      <c r="O62" s="28"/>
    </row>
    <row r="63" spans="1:15" ht="48" x14ac:dyDescent="0.25">
      <c r="A63" s="31" t="s">
        <v>308</v>
      </c>
      <c r="B63" s="32" t="s">
        <v>248</v>
      </c>
      <c r="C63" s="33" t="s">
        <v>14</v>
      </c>
      <c r="D63" s="33" t="s">
        <v>15</v>
      </c>
      <c r="E63" s="63" t="s">
        <v>305</v>
      </c>
      <c r="F63" s="33" t="s">
        <v>16</v>
      </c>
      <c r="G63" s="34">
        <v>3222105</v>
      </c>
      <c r="H63" s="35" t="s">
        <v>65</v>
      </c>
      <c r="I63" s="36">
        <f>SUM(I64:I69)</f>
        <v>675000</v>
      </c>
      <c r="J63" s="36">
        <f t="shared" ref="J63:N63" si="24">SUM(J64:J69)</f>
        <v>0</v>
      </c>
      <c r="K63" s="36">
        <f t="shared" si="24"/>
        <v>0</v>
      </c>
      <c r="L63" s="36">
        <f t="shared" si="24"/>
        <v>675000</v>
      </c>
      <c r="M63" s="36">
        <f t="shared" si="24"/>
        <v>843750</v>
      </c>
      <c r="N63" s="36">
        <f t="shared" si="24"/>
        <v>808250</v>
      </c>
      <c r="O63" s="38" t="s">
        <v>13</v>
      </c>
    </row>
    <row r="64" spans="1:15" ht="24.95" customHeight="1" x14ac:dyDescent="0.25">
      <c r="A64" s="22"/>
      <c r="B64" s="23"/>
      <c r="C64" s="24"/>
      <c r="D64" s="24"/>
      <c r="E64" s="24"/>
      <c r="F64" s="24"/>
      <c r="G64" s="25"/>
      <c r="H64" s="26" t="s">
        <v>66</v>
      </c>
      <c r="I64" s="27">
        <v>200000</v>
      </c>
      <c r="J64" s="27">
        <v>0</v>
      </c>
      <c r="K64" s="27">
        <v>0</v>
      </c>
      <c r="L64" s="27">
        <f t="shared" ref="L64:L69" si="25">SUM(I64:K64)</f>
        <v>200000</v>
      </c>
      <c r="M64" s="27">
        <f t="shared" ref="M64:M69" si="26">L64*1.25</f>
        <v>250000</v>
      </c>
      <c r="N64" s="27">
        <f>M64</f>
        <v>250000</v>
      </c>
      <c r="O64" s="28"/>
    </row>
    <row r="65" spans="1:15" ht="24.95" customHeight="1" x14ac:dyDescent="0.25">
      <c r="A65" s="22"/>
      <c r="B65" s="23"/>
      <c r="C65" s="24"/>
      <c r="D65" s="24"/>
      <c r="E65" s="24"/>
      <c r="F65" s="24"/>
      <c r="G65" s="25"/>
      <c r="H65" s="26" t="s">
        <v>67</v>
      </c>
      <c r="I65" s="27">
        <v>245000</v>
      </c>
      <c r="J65" s="27">
        <v>0</v>
      </c>
      <c r="K65" s="27">
        <v>48000</v>
      </c>
      <c r="L65" s="27">
        <f t="shared" si="25"/>
        <v>293000</v>
      </c>
      <c r="M65" s="27">
        <f t="shared" si="26"/>
        <v>366250</v>
      </c>
      <c r="N65" s="27">
        <f t="shared" ref="N65:N67" si="27">M65</f>
        <v>366250</v>
      </c>
      <c r="O65" s="28"/>
    </row>
    <row r="66" spans="1:15" ht="24.95" customHeight="1" x14ac:dyDescent="0.25">
      <c r="A66" s="22"/>
      <c r="B66" s="23"/>
      <c r="C66" s="24"/>
      <c r="D66" s="24"/>
      <c r="E66" s="24"/>
      <c r="F66" s="24"/>
      <c r="G66" s="25"/>
      <c r="H66" s="26" t="s">
        <v>68</v>
      </c>
      <c r="I66" s="27">
        <v>66000</v>
      </c>
      <c r="J66" s="27">
        <v>0</v>
      </c>
      <c r="K66" s="27">
        <v>-26000</v>
      </c>
      <c r="L66" s="27">
        <f t="shared" si="25"/>
        <v>40000</v>
      </c>
      <c r="M66" s="27">
        <f t="shared" si="26"/>
        <v>50000</v>
      </c>
      <c r="N66" s="27">
        <f t="shared" si="27"/>
        <v>50000</v>
      </c>
      <c r="O66" s="28"/>
    </row>
    <row r="67" spans="1:15" ht="24.95" customHeight="1" x14ac:dyDescent="0.25">
      <c r="A67" s="22"/>
      <c r="B67" s="23"/>
      <c r="C67" s="24"/>
      <c r="D67" s="24"/>
      <c r="E67" s="24"/>
      <c r="F67" s="24"/>
      <c r="G67" s="25"/>
      <c r="H67" s="26" t="s">
        <v>69</v>
      </c>
      <c r="I67" s="27">
        <v>7000</v>
      </c>
      <c r="J67" s="27">
        <v>0</v>
      </c>
      <c r="K67" s="27">
        <v>-7000</v>
      </c>
      <c r="L67" s="27">
        <f t="shared" si="25"/>
        <v>0</v>
      </c>
      <c r="M67" s="27">
        <f t="shared" si="26"/>
        <v>0</v>
      </c>
      <c r="N67" s="27">
        <f t="shared" si="27"/>
        <v>0</v>
      </c>
      <c r="O67" s="28"/>
    </row>
    <row r="68" spans="1:15" ht="24.95" customHeight="1" x14ac:dyDescent="0.25">
      <c r="A68" s="22"/>
      <c r="B68" s="23"/>
      <c r="C68" s="24"/>
      <c r="D68" s="24"/>
      <c r="E68" s="24"/>
      <c r="F68" s="24"/>
      <c r="G68" s="25"/>
      <c r="H68" s="64" t="s">
        <v>70</v>
      </c>
      <c r="I68" s="27">
        <v>82000</v>
      </c>
      <c r="J68" s="27">
        <v>0</v>
      </c>
      <c r="K68" s="27">
        <v>-15000</v>
      </c>
      <c r="L68" s="27">
        <f t="shared" si="25"/>
        <v>67000</v>
      </c>
      <c r="M68" s="27">
        <f t="shared" si="26"/>
        <v>83750</v>
      </c>
      <c r="N68" s="27">
        <f>L68</f>
        <v>67000</v>
      </c>
      <c r="O68" s="28"/>
    </row>
    <row r="69" spans="1:15" ht="24.95" customHeight="1" x14ac:dyDescent="0.25">
      <c r="A69" s="22"/>
      <c r="B69" s="23"/>
      <c r="C69" s="24"/>
      <c r="D69" s="24"/>
      <c r="E69" s="24"/>
      <c r="F69" s="24"/>
      <c r="G69" s="25"/>
      <c r="H69" s="26" t="s">
        <v>71</v>
      </c>
      <c r="I69" s="27">
        <v>75000</v>
      </c>
      <c r="J69" s="27">
        <v>0</v>
      </c>
      <c r="K69" s="27">
        <v>0</v>
      </c>
      <c r="L69" s="27">
        <f t="shared" si="25"/>
        <v>75000</v>
      </c>
      <c r="M69" s="27">
        <f t="shared" si="26"/>
        <v>93750</v>
      </c>
      <c r="N69" s="27">
        <f>L69</f>
        <v>75000</v>
      </c>
      <c r="O69" s="28"/>
    </row>
    <row r="70" spans="1:15" s="5" customFormat="1" ht="34.5" customHeight="1" x14ac:dyDescent="0.25">
      <c r="A70" s="31" t="s">
        <v>349</v>
      </c>
      <c r="B70" s="32" t="s">
        <v>251</v>
      </c>
      <c r="C70" s="33" t="s">
        <v>14</v>
      </c>
      <c r="D70" s="33" t="s">
        <v>15</v>
      </c>
      <c r="E70" s="54" t="s">
        <v>254</v>
      </c>
      <c r="F70" s="33" t="s">
        <v>16</v>
      </c>
      <c r="G70" s="34">
        <v>3222106</v>
      </c>
      <c r="H70" s="35" t="s">
        <v>72</v>
      </c>
      <c r="I70" s="36">
        <f>SUM(I71:I83)</f>
        <v>922000</v>
      </c>
      <c r="J70" s="36">
        <f t="shared" ref="J70:N70" si="28">SUM(J71:J83)</f>
        <v>0</v>
      </c>
      <c r="K70" s="36">
        <f t="shared" si="28"/>
        <v>90000</v>
      </c>
      <c r="L70" s="36">
        <f t="shared" si="28"/>
        <v>1012000</v>
      </c>
      <c r="M70" s="36">
        <f t="shared" si="28"/>
        <v>1265000</v>
      </c>
      <c r="N70" s="36">
        <f t="shared" si="28"/>
        <v>1255000</v>
      </c>
      <c r="O70" s="38" t="s">
        <v>13</v>
      </c>
    </row>
    <row r="71" spans="1:15" ht="24.95" customHeight="1" x14ac:dyDescent="0.25">
      <c r="A71" s="22"/>
      <c r="B71" s="23"/>
      <c r="C71" s="24"/>
      <c r="D71" s="24"/>
      <c r="E71" s="24"/>
      <c r="F71" s="24"/>
      <c r="G71" s="25"/>
      <c r="H71" s="26" t="s">
        <v>73</v>
      </c>
      <c r="I71" s="27">
        <v>311000</v>
      </c>
      <c r="J71" s="27">
        <v>0</v>
      </c>
      <c r="K71" s="27">
        <v>0</v>
      </c>
      <c r="L71" s="27">
        <f t="shared" ref="L71:L83" si="29">SUM(I71:K71)</f>
        <v>311000</v>
      </c>
      <c r="M71" s="27">
        <f t="shared" ref="M71:M83" si="30">L71*1.25</f>
        <v>388750</v>
      </c>
      <c r="N71" s="27">
        <f>M71</f>
        <v>388750</v>
      </c>
      <c r="O71" s="28"/>
    </row>
    <row r="72" spans="1:15" ht="24.95" customHeight="1" x14ac:dyDescent="0.25">
      <c r="A72" s="22"/>
      <c r="B72" s="23"/>
      <c r="C72" s="24"/>
      <c r="D72" s="24"/>
      <c r="E72" s="24"/>
      <c r="F72" s="24"/>
      <c r="G72" s="25"/>
      <c r="H72" s="26" t="s">
        <v>74</v>
      </c>
      <c r="I72" s="27">
        <v>115000</v>
      </c>
      <c r="J72" s="27">
        <v>0</v>
      </c>
      <c r="K72" s="27">
        <v>0</v>
      </c>
      <c r="L72" s="27">
        <f t="shared" si="29"/>
        <v>115000</v>
      </c>
      <c r="M72" s="27">
        <f t="shared" si="30"/>
        <v>143750</v>
      </c>
      <c r="N72" s="27">
        <f t="shared" ref="N72:N83" si="31">M72</f>
        <v>143750</v>
      </c>
      <c r="O72" s="28"/>
    </row>
    <row r="73" spans="1:15" ht="24.95" customHeight="1" x14ac:dyDescent="0.25">
      <c r="A73" s="22"/>
      <c r="B73" s="23"/>
      <c r="C73" s="24"/>
      <c r="D73" s="24"/>
      <c r="E73" s="24"/>
      <c r="F73" s="24"/>
      <c r="G73" s="25"/>
      <c r="H73" s="26" t="s">
        <v>348</v>
      </c>
      <c r="I73" s="27">
        <v>0</v>
      </c>
      <c r="J73" s="27">
        <v>0</v>
      </c>
      <c r="K73" s="27">
        <v>90000</v>
      </c>
      <c r="L73" s="27">
        <f t="shared" si="29"/>
        <v>90000</v>
      </c>
      <c r="M73" s="27">
        <f t="shared" si="30"/>
        <v>112500</v>
      </c>
      <c r="N73" s="27">
        <f t="shared" si="31"/>
        <v>112500</v>
      </c>
      <c r="O73" s="28"/>
    </row>
    <row r="74" spans="1:15" ht="24.95" customHeight="1" x14ac:dyDescent="0.25">
      <c r="A74" s="22"/>
      <c r="B74" s="23"/>
      <c r="C74" s="24"/>
      <c r="D74" s="24"/>
      <c r="E74" s="24"/>
      <c r="F74" s="24"/>
      <c r="G74" s="25"/>
      <c r="H74" s="26" t="s">
        <v>75</v>
      </c>
      <c r="I74" s="27">
        <v>50000</v>
      </c>
      <c r="J74" s="27">
        <v>0</v>
      </c>
      <c r="K74" s="27">
        <v>0</v>
      </c>
      <c r="L74" s="27">
        <f t="shared" si="29"/>
        <v>50000</v>
      </c>
      <c r="M74" s="27">
        <f t="shared" si="30"/>
        <v>62500</v>
      </c>
      <c r="N74" s="27">
        <f t="shared" si="31"/>
        <v>62500</v>
      </c>
      <c r="O74" s="28"/>
    </row>
    <row r="75" spans="1:15" ht="24.95" customHeight="1" x14ac:dyDescent="0.25">
      <c r="A75" s="22"/>
      <c r="B75" s="23"/>
      <c r="C75" s="24"/>
      <c r="D75" s="24"/>
      <c r="E75" s="24"/>
      <c r="F75" s="24"/>
      <c r="G75" s="25"/>
      <c r="H75" s="26" t="s">
        <v>76</v>
      </c>
      <c r="I75" s="27">
        <v>10000</v>
      </c>
      <c r="J75" s="27">
        <v>0</v>
      </c>
      <c r="K75" s="27">
        <v>0</v>
      </c>
      <c r="L75" s="27">
        <f t="shared" si="29"/>
        <v>10000</v>
      </c>
      <c r="M75" s="27">
        <f t="shared" si="30"/>
        <v>12500</v>
      </c>
      <c r="N75" s="27">
        <f>L75</f>
        <v>10000</v>
      </c>
      <c r="O75" s="28"/>
    </row>
    <row r="76" spans="1:15" ht="24.95" customHeight="1" x14ac:dyDescent="0.25">
      <c r="A76" s="22"/>
      <c r="B76" s="23"/>
      <c r="C76" s="24"/>
      <c r="D76" s="24"/>
      <c r="E76" s="24"/>
      <c r="F76" s="24"/>
      <c r="G76" s="25"/>
      <c r="H76" s="26" t="s">
        <v>77</v>
      </c>
      <c r="I76" s="27">
        <v>170000</v>
      </c>
      <c r="J76" s="27">
        <v>0</v>
      </c>
      <c r="K76" s="27">
        <v>0</v>
      </c>
      <c r="L76" s="27">
        <f t="shared" si="29"/>
        <v>170000</v>
      </c>
      <c r="M76" s="27">
        <f t="shared" si="30"/>
        <v>212500</v>
      </c>
      <c r="N76" s="27">
        <f t="shared" si="31"/>
        <v>212500</v>
      </c>
      <c r="O76" s="28"/>
    </row>
    <row r="77" spans="1:15" ht="24.95" customHeight="1" x14ac:dyDescent="0.25">
      <c r="A77" s="22"/>
      <c r="B77" s="23"/>
      <c r="C77" s="24"/>
      <c r="D77" s="24"/>
      <c r="E77" s="24"/>
      <c r="F77" s="24"/>
      <c r="G77" s="25"/>
      <c r="H77" s="26" t="s">
        <v>78</v>
      </c>
      <c r="I77" s="27">
        <v>18000</v>
      </c>
      <c r="J77" s="27">
        <v>0</v>
      </c>
      <c r="K77" s="27">
        <v>0</v>
      </c>
      <c r="L77" s="27">
        <f t="shared" si="29"/>
        <v>18000</v>
      </c>
      <c r="M77" s="27">
        <f t="shared" si="30"/>
        <v>22500</v>
      </c>
      <c r="N77" s="27">
        <f t="shared" si="31"/>
        <v>22500</v>
      </c>
      <c r="O77" s="28"/>
    </row>
    <row r="78" spans="1:15" ht="24.95" customHeight="1" x14ac:dyDescent="0.25">
      <c r="A78" s="22"/>
      <c r="B78" s="23"/>
      <c r="C78" s="24"/>
      <c r="D78" s="24"/>
      <c r="E78" s="24"/>
      <c r="F78" s="24"/>
      <c r="G78" s="25"/>
      <c r="H78" s="26" t="s">
        <v>79</v>
      </c>
      <c r="I78" s="27">
        <v>19000</v>
      </c>
      <c r="J78" s="27">
        <v>0</v>
      </c>
      <c r="K78" s="27">
        <v>0</v>
      </c>
      <c r="L78" s="27">
        <f t="shared" si="29"/>
        <v>19000</v>
      </c>
      <c r="M78" s="27">
        <f t="shared" si="30"/>
        <v>23750</v>
      </c>
      <c r="N78" s="27">
        <f t="shared" si="31"/>
        <v>23750</v>
      </c>
      <c r="O78" s="28"/>
    </row>
    <row r="79" spans="1:15" ht="24.95" customHeight="1" x14ac:dyDescent="0.25">
      <c r="A79" s="22"/>
      <c r="B79" s="23"/>
      <c r="C79" s="24"/>
      <c r="D79" s="24"/>
      <c r="E79" s="24"/>
      <c r="F79" s="24"/>
      <c r="G79" s="25"/>
      <c r="H79" s="26" t="s">
        <v>80</v>
      </c>
      <c r="I79" s="27">
        <v>30000</v>
      </c>
      <c r="J79" s="27">
        <v>0</v>
      </c>
      <c r="K79" s="27">
        <v>0</v>
      </c>
      <c r="L79" s="27">
        <f t="shared" si="29"/>
        <v>30000</v>
      </c>
      <c r="M79" s="27">
        <f t="shared" si="30"/>
        <v>37500</v>
      </c>
      <c r="N79" s="27">
        <f>L79</f>
        <v>30000</v>
      </c>
      <c r="O79" s="28"/>
    </row>
    <row r="80" spans="1:15" ht="24.95" customHeight="1" x14ac:dyDescent="0.25">
      <c r="A80" s="22"/>
      <c r="B80" s="23"/>
      <c r="C80" s="24"/>
      <c r="D80" s="24"/>
      <c r="E80" s="24"/>
      <c r="F80" s="24"/>
      <c r="G80" s="25"/>
      <c r="H80" s="26" t="s">
        <v>81</v>
      </c>
      <c r="I80" s="27">
        <v>20000</v>
      </c>
      <c r="J80" s="27">
        <v>0</v>
      </c>
      <c r="K80" s="27">
        <v>0</v>
      </c>
      <c r="L80" s="27">
        <f t="shared" si="29"/>
        <v>20000</v>
      </c>
      <c r="M80" s="27">
        <f t="shared" si="30"/>
        <v>25000</v>
      </c>
      <c r="N80" s="27">
        <f t="shared" si="31"/>
        <v>25000</v>
      </c>
      <c r="O80" s="28"/>
    </row>
    <row r="81" spans="1:15" ht="24.95" customHeight="1" x14ac:dyDescent="0.25">
      <c r="A81" s="22"/>
      <c r="B81" s="23"/>
      <c r="C81" s="24"/>
      <c r="D81" s="24"/>
      <c r="E81" s="24"/>
      <c r="F81" s="24"/>
      <c r="G81" s="25"/>
      <c r="H81" s="26" t="s">
        <v>82</v>
      </c>
      <c r="I81" s="27">
        <v>1000</v>
      </c>
      <c r="J81" s="27">
        <v>0</v>
      </c>
      <c r="K81" s="27">
        <v>0</v>
      </c>
      <c r="L81" s="27">
        <f t="shared" si="29"/>
        <v>1000</v>
      </c>
      <c r="M81" s="27">
        <f t="shared" si="30"/>
        <v>1250</v>
      </c>
      <c r="N81" s="27">
        <f t="shared" si="31"/>
        <v>1250</v>
      </c>
      <c r="O81" s="28"/>
    </row>
    <row r="82" spans="1:15" ht="24.95" customHeight="1" x14ac:dyDescent="0.25">
      <c r="A82" s="22"/>
      <c r="B82" s="23"/>
      <c r="C82" s="25"/>
      <c r="D82" s="25"/>
      <c r="E82" s="25"/>
      <c r="F82" s="25"/>
      <c r="G82" s="25"/>
      <c r="H82" s="26" t="s">
        <v>83</v>
      </c>
      <c r="I82" s="27">
        <v>170000</v>
      </c>
      <c r="J82" s="27">
        <v>0</v>
      </c>
      <c r="K82" s="27">
        <v>0</v>
      </c>
      <c r="L82" s="27">
        <f t="shared" si="29"/>
        <v>170000</v>
      </c>
      <c r="M82" s="27">
        <f t="shared" si="30"/>
        <v>212500</v>
      </c>
      <c r="N82" s="27">
        <f t="shared" si="31"/>
        <v>212500</v>
      </c>
      <c r="O82" s="28"/>
    </row>
    <row r="83" spans="1:15" ht="24.95" customHeight="1" x14ac:dyDescent="0.25">
      <c r="A83" s="22"/>
      <c r="B83" s="23"/>
      <c r="C83" s="25"/>
      <c r="D83" s="25"/>
      <c r="E83" s="25"/>
      <c r="F83" s="25"/>
      <c r="G83" s="25"/>
      <c r="H83" s="26" t="s">
        <v>84</v>
      </c>
      <c r="I83" s="27">
        <v>8000</v>
      </c>
      <c r="J83" s="27">
        <v>0</v>
      </c>
      <c r="K83" s="27">
        <v>0</v>
      </c>
      <c r="L83" s="27">
        <f t="shared" si="29"/>
        <v>8000</v>
      </c>
      <c r="M83" s="27">
        <f t="shared" si="30"/>
        <v>10000</v>
      </c>
      <c r="N83" s="27">
        <f t="shared" si="31"/>
        <v>10000</v>
      </c>
      <c r="O83" s="28"/>
    </row>
    <row r="84" spans="1:15" ht="24.95" customHeight="1" x14ac:dyDescent="0.25">
      <c r="A84" s="31"/>
      <c r="B84" s="32"/>
      <c r="C84" s="33"/>
      <c r="D84" s="33"/>
      <c r="E84" s="33"/>
      <c r="F84" s="33"/>
      <c r="G84" s="34">
        <v>3222107</v>
      </c>
      <c r="H84" s="35" t="s">
        <v>85</v>
      </c>
      <c r="I84" s="36">
        <v>25000</v>
      </c>
      <c r="J84" s="36">
        <v>0</v>
      </c>
      <c r="K84" s="36">
        <v>0</v>
      </c>
      <c r="L84" s="36">
        <f>SUM(I84:K84)</f>
        <v>25000</v>
      </c>
      <c r="M84" s="36">
        <f>L84*1.25</f>
        <v>31250</v>
      </c>
      <c r="N84" s="36">
        <f>M84</f>
        <v>31250</v>
      </c>
      <c r="O84" s="38"/>
    </row>
    <row r="85" spans="1:15" ht="24" x14ac:dyDescent="0.25">
      <c r="A85" s="31" t="s">
        <v>369</v>
      </c>
      <c r="B85" s="32">
        <v>33141580</v>
      </c>
      <c r="C85" s="33" t="s">
        <v>12</v>
      </c>
      <c r="D85" s="33"/>
      <c r="E85" s="33"/>
      <c r="F85" s="33"/>
      <c r="G85" s="34">
        <v>3222108</v>
      </c>
      <c r="H85" s="35" t="s">
        <v>86</v>
      </c>
      <c r="I85" s="36">
        <v>165000</v>
      </c>
      <c r="J85" s="36">
        <v>0</v>
      </c>
      <c r="K85" s="36">
        <v>0</v>
      </c>
      <c r="L85" s="36">
        <f>SUM(I85:K85)</f>
        <v>165000</v>
      </c>
      <c r="M85" s="36">
        <f>L85*1.25</f>
        <v>206250</v>
      </c>
      <c r="N85" s="36">
        <f>M85</f>
        <v>206250</v>
      </c>
      <c r="O85" s="38" t="s">
        <v>13</v>
      </c>
    </row>
    <row r="86" spans="1:15" ht="24" x14ac:dyDescent="0.25">
      <c r="A86" s="31" t="s">
        <v>309</v>
      </c>
      <c r="B86" s="32">
        <v>33141000</v>
      </c>
      <c r="C86" s="33" t="s">
        <v>14</v>
      </c>
      <c r="D86" s="33" t="s">
        <v>15</v>
      </c>
      <c r="E86" s="63" t="s">
        <v>305</v>
      </c>
      <c r="F86" s="33" t="s">
        <v>16</v>
      </c>
      <c r="G86" s="34">
        <v>3222109</v>
      </c>
      <c r="H86" s="35" t="s">
        <v>87</v>
      </c>
      <c r="I86" s="36">
        <v>210000</v>
      </c>
      <c r="J86" s="36">
        <v>0</v>
      </c>
      <c r="K86" s="36">
        <v>0</v>
      </c>
      <c r="L86" s="36">
        <f>SUM(I86:K86)</f>
        <v>210000</v>
      </c>
      <c r="M86" s="36">
        <f>L86*1.25</f>
        <v>262500</v>
      </c>
      <c r="N86" s="36">
        <f>I86</f>
        <v>210000</v>
      </c>
      <c r="O86" s="38" t="s">
        <v>13</v>
      </c>
    </row>
    <row r="87" spans="1:15" ht="30.75" customHeight="1" x14ac:dyDescent="0.25">
      <c r="A87" s="31" t="s">
        <v>326</v>
      </c>
      <c r="B87" s="32">
        <v>33793000</v>
      </c>
      <c r="C87" s="33" t="s">
        <v>14</v>
      </c>
      <c r="D87" s="33" t="s">
        <v>15</v>
      </c>
      <c r="E87" s="63" t="s">
        <v>327</v>
      </c>
      <c r="F87" s="33" t="s">
        <v>16</v>
      </c>
      <c r="G87" s="34">
        <v>3222110</v>
      </c>
      <c r="H87" s="35" t="s">
        <v>88</v>
      </c>
      <c r="I87" s="36">
        <f>SUM(I88:I90)</f>
        <v>600000</v>
      </c>
      <c r="J87" s="36">
        <f t="shared" ref="J87:K87" si="32">SUM(J88:J90)</f>
        <v>0</v>
      </c>
      <c r="K87" s="36">
        <f t="shared" si="32"/>
        <v>-300000</v>
      </c>
      <c r="L87" s="36">
        <f>SUM(L88:L90)</f>
        <v>300000</v>
      </c>
      <c r="M87" s="36">
        <f>SUM(M88:M90)</f>
        <v>375000</v>
      </c>
      <c r="N87" s="36">
        <f t="shared" ref="N87" si="33">SUM(N88:N90)</f>
        <v>300000</v>
      </c>
      <c r="O87" s="38" t="s">
        <v>13</v>
      </c>
    </row>
    <row r="88" spans="1:15" ht="24.95" customHeight="1" x14ac:dyDescent="0.25">
      <c r="A88" s="22"/>
      <c r="B88" s="23"/>
      <c r="C88" s="24"/>
      <c r="D88" s="24"/>
      <c r="E88" s="24"/>
      <c r="F88" s="24"/>
      <c r="G88" s="25"/>
      <c r="H88" s="26" t="s">
        <v>89</v>
      </c>
      <c r="I88" s="45">
        <v>50000</v>
      </c>
      <c r="J88" s="45">
        <v>0</v>
      </c>
      <c r="K88" s="45">
        <v>-25000</v>
      </c>
      <c r="L88" s="45">
        <f t="shared" ref="L88:L90" si="34">SUM(I88:K88)</f>
        <v>25000</v>
      </c>
      <c r="M88" s="45">
        <f t="shared" ref="M88:M90" si="35">L88*1.25</f>
        <v>31250</v>
      </c>
      <c r="N88" s="45">
        <f>L88</f>
        <v>25000</v>
      </c>
      <c r="O88" s="28"/>
    </row>
    <row r="89" spans="1:15" ht="24.95" customHeight="1" x14ac:dyDescent="0.25">
      <c r="A89" s="22"/>
      <c r="B89" s="23"/>
      <c r="C89" s="24"/>
      <c r="D89" s="24"/>
      <c r="E89" s="24"/>
      <c r="F89" s="24"/>
      <c r="G89" s="25"/>
      <c r="H89" s="26" t="s">
        <v>90</v>
      </c>
      <c r="I89" s="45">
        <v>40000</v>
      </c>
      <c r="J89" s="45">
        <v>0</v>
      </c>
      <c r="K89" s="45">
        <v>-20000</v>
      </c>
      <c r="L89" s="45">
        <f t="shared" si="34"/>
        <v>20000</v>
      </c>
      <c r="M89" s="45">
        <f t="shared" si="35"/>
        <v>25000</v>
      </c>
      <c r="N89" s="45">
        <f t="shared" ref="N89:N90" si="36">L89</f>
        <v>20000</v>
      </c>
      <c r="O89" s="28"/>
    </row>
    <row r="90" spans="1:15" ht="24.95" customHeight="1" x14ac:dyDescent="0.25">
      <c r="A90" s="22"/>
      <c r="B90" s="23"/>
      <c r="C90" s="24"/>
      <c r="D90" s="24"/>
      <c r="E90" s="24"/>
      <c r="F90" s="24"/>
      <c r="G90" s="25"/>
      <c r="H90" s="26" t="s">
        <v>91</v>
      </c>
      <c r="I90" s="45">
        <f>255000*2</f>
        <v>510000</v>
      </c>
      <c r="J90" s="45">
        <v>0</v>
      </c>
      <c r="K90" s="45">
        <v>-255000</v>
      </c>
      <c r="L90" s="45">
        <f t="shared" si="34"/>
        <v>255000</v>
      </c>
      <c r="M90" s="45">
        <f t="shared" si="35"/>
        <v>318750</v>
      </c>
      <c r="N90" s="45">
        <f t="shared" si="36"/>
        <v>255000</v>
      </c>
      <c r="O90" s="28"/>
    </row>
    <row r="91" spans="1:15" ht="27.75" customHeight="1" x14ac:dyDescent="0.25">
      <c r="A91" s="31" t="s">
        <v>370</v>
      </c>
      <c r="B91" s="32" t="s">
        <v>253</v>
      </c>
      <c r="C91" s="33" t="s">
        <v>14</v>
      </c>
      <c r="D91" s="33" t="s">
        <v>15</v>
      </c>
      <c r="E91" s="33" t="s">
        <v>371</v>
      </c>
      <c r="F91" s="33" t="s">
        <v>16</v>
      </c>
      <c r="G91" s="34">
        <v>3222111</v>
      </c>
      <c r="H91" s="35" t="s">
        <v>92</v>
      </c>
      <c r="I91" s="36">
        <f>SUM(I92:I96)</f>
        <v>590000</v>
      </c>
      <c r="J91" s="36">
        <f t="shared" ref="J91:K91" si="37">SUM(J92:J96)</f>
        <v>0</v>
      </c>
      <c r="K91" s="36">
        <f t="shared" si="37"/>
        <v>0</v>
      </c>
      <c r="L91" s="36">
        <f>SUM(L92:L96)</f>
        <v>590000</v>
      </c>
      <c r="M91" s="36">
        <f>SUM(M92:M96)</f>
        <v>737500</v>
      </c>
      <c r="N91" s="36">
        <f>SUM(N92:N96)</f>
        <v>706887.5</v>
      </c>
      <c r="O91" s="38" t="s">
        <v>13</v>
      </c>
    </row>
    <row r="92" spans="1:15" ht="24.95" customHeight="1" x14ac:dyDescent="0.25">
      <c r="A92" s="22"/>
      <c r="B92" s="23"/>
      <c r="C92" s="24"/>
      <c r="D92" s="24"/>
      <c r="E92" s="24"/>
      <c r="F92" s="24"/>
      <c r="G92" s="25"/>
      <c r="H92" s="26" t="s">
        <v>93</v>
      </c>
      <c r="I92" s="45">
        <v>115000</v>
      </c>
      <c r="J92" s="45">
        <v>0</v>
      </c>
      <c r="K92" s="45">
        <v>0</v>
      </c>
      <c r="L92" s="45">
        <f t="shared" ref="L92:L96" si="38">SUM(I92:K92)</f>
        <v>115000</v>
      </c>
      <c r="M92" s="45">
        <f t="shared" ref="M92:M96" si="39">L92*1.25</f>
        <v>143750</v>
      </c>
      <c r="N92" s="45">
        <f>L92*1.1725</f>
        <v>134837.5</v>
      </c>
      <c r="O92" s="28"/>
    </row>
    <row r="93" spans="1:15" ht="36" x14ac:dyDescent="0.25">
      <c r="A93" s="22"/>
      <c r="B93" s="23"/>
      <c r="C93" s="24"/>
      <c r="D93" s="24"/>
      <c r="E93" s="24"/>
      <c r="F93" s="24"/>
      <c r="G93" s="25"/>
      <c r="H93" s="26" t="s">
        <v>372</v>
      </c>
      <c r="I93" s="45">
        <v>195000</v>
      </c>
      <c r="J93" s="45">
        <v>0</v>
      </c>
      <c r="K93" s="45">
        <v>0</v>
      </c>
      <c r="L93" s="45">
        <f t="shared" si="38"/>
        <v>195000</v>
      </c>
      <c r="M93" s="45">
        <f t="shared" si="39"/>
        <v>243750</v>
      </c>
      <c r="N93" s="45">
        <f>M93</f>
        <v>243750</v>
      </c>
      <c r="O93" s="28"/>
    </row>
    <row r="94" spans="1:15" ht="24" x14ac:dyDescent="0.25">
      <c r="A94" s="22"/>
      <c r="B94" s="23"/>
      <c r="C94" s="24"/>
      <c r="D94" s="24"/>
      <c r="E94" s="24"/>
      <c r="F94" s="24"/>
      <c r="G94" s="25"/>
      <c r="H94" s="26" t="s">
        <v>94</v>
      </c>
      <c r="I94" s="45">
        <v>190000</v>
      </c>
      <c r="J94" s="45">
        <v>0</v>
      </c>
      <c r="K94" s="45">
        <v>0</v>
      </c>
      <c r="L94" s="45">
        <f t="shared" si="38"/>
        <v>190000</v>
      </c>
      <c r="M94" s="45">
        <f t="shared" si="39"/>
        <v>237500</v>
      </c>
      <c r="N94" s="45">
        <f t="shared" ref="N94:N96" si="40">L94*1.1725</f>
        <v>222775.00000000003</v>
      </c>
      <c r="O94" s="28"/>
    </row>
    <row r="95" spans="1:15" ht="24.95" customHeight="1" x14ac:dyDescent="0.25">
      <c r="A95" s="22"/>
      <c r="B95" s="23"/>
      <c r="C95" s="24"/>
      <c r="D95" s="24"/>
      <c r="E95" s="24"/>
      <c r="F95" s="24"/>
      <c r="G95" s="25"/>
      <c r="H95" s="26" t="s">
        <v>373</v>
      </c>
      <c r="I95" s="45">
        <v>45000</v>
      </c>
      <c r="J95" s="45">
        <v>0</v>
      </c>
      <c r="K95" s="45">
        <v>0</v>
      </c>
      <c r="L95" s="45">
        <f t="shared" si="38"/>
        <v>45000</v>
      </c>
      <c r="M95" s="45">
        <f t="shared" si="39"/>
        <v>56250</v>
      </c>
      <c r="N95" s="45">
        <f>L95*1.1725</f>
        <v>52762.500000000007</v>
      </c>
      <c r="O95" s="28"/>
    </row>
    <row r="96" spans="1:15" ht="24.95" customHeight="1" x14ac:dyDescent="0.25">
      <c r="A96" s="22"/>
      <c r="B96" s="23"/>
      <c r="C96" s="24"/>
      <c r="D96" s="24"/>
      <c r="E96" s="24"/>
      <c r="F96" s="24"/>
      <c r="G96" s="25"/>
      <c r="H96" s="26" t="s">
        <v>95</v>
      </c>
      <c r="I96" s="45">
        <v>45000</v>
      </c>
      <c r="J96" s="45">
        <v>0</v>
      </c>
      <c r="K96" s="45">
        <v>0</v>
      </c>
      <c r="L96" s="45">
        <f t="shared" si="38"/>
        <v>45000</v>
      </c>
      <c r="M96" s="45">
        <f t="shared" si="39"/>
        <v>56250</v>
      </c>
      <c r="N96" s="45">
        <f t="shared" si="40"/>
        <v>52762.500000000007</v>
      </c>
      <c r="O96" s="28"/>
    </row>
    <row r="97" spans="1:15" ht="24.95" customHeight="1" x14ac:dyDescent="0.25">
      <c r="A97" s="31"/>
      <c r="B97" s="32"/>
      <c r="C97" s="33"/>
      <c r="D97" s="33"/>
      <c r="E97" s="33"/>
      <c r="F97" s="33"/>
      <c r="G97" s="34">
        <v>3222112</v>
      </c>
      <c r="H97" s="35" t="s">
        <v>96</v>
      </c>
      <c r="I97" s="36">
        <v>85000</v>
      </c>
      <c r="J97" s="36">
        <v>0</v>
      </c>
      <c r="K97" s="36">
        <v>0</v>
      </c>
      <c r="L97" s="36">
        <f>SUM(I97:K97)</f>
        <v>85000</v>
      </c>
      <c r="M97" s="36">
        <f>L97*1.25</f>
        <v>106250</v>
      </c>
      <c r="N97" s="36">
        <f>L97*1.1725</f>
        <v>99662.500000000015</v>
      </c>
      <c r="O97" s="38"/>
    </row>
    <row r="98" spans="1:15" ht="33" customHeight="1" x14ac:dyDescent="0.25">
      <c r="A98" s="31" t="s">
        <v>310</v>
      </c>
      <c r="B98" s="32" t="s">
        <v>255</v>
      </c>
      <c r="C98" s="33" t="s">
        <v>12</v>
      </c>
      <c r="D98" s="33"/>
      <c r="E98" s="33"/>
      <c r="F98" s="33"/>
      <c r="G98" s="34">
        <v>3222120</v>
      </c>
      <c r="H98" s="35" t="s">
        <v>97</v>
      </c>
      <c r="I98" s="36">
        <v>145000</v>
      </c>
      <c r="J98" s="36">
        <v>0</v>
      </c>
      <c r="K98" s="36">
        <v>0</v>
      </c>
      <c r="L98" s="36">
        <f>SUM(I98:K98)</f>
        <v>145000</v>
      </c>
      <c r="M98" s="36">
        <f>L98*1.25</f>
        <v>181250</v>
      </c>
      <c r="N98" s="36">
        <f>L98</f>
        <v>145000</v>
      </c>
      <c r="O98" s="38" t="s">
        <v>13</v>
      </c>
    </row>
    <row r="99" spans="1:15" ht="32.25" customHeight="1" x14ac:dyDescent="0.25">
      <c r="A99" s="31" t="s">
        <v>311</v>
      </c>
      <c r="B99" s="32" t="s">
        <v>256</v>
      </c>
      <c r="C99" s="33" t="s">
        <v>14</v>
      </c>
      <c r="D99" s="33" t="s">
        <v>15</v>
      </c>
      <c r="E99" s="63" t="s">
        <v>245</v>
      </c>
      <c r="F99" s="33" t="s">
        <v>16</v>
      </c>
      <c r="G99" s="34">
        <v>3222133</v>
      </c>
      <c r="H99" s="35" t="s">
        <v>98</v>
      </c>
      <c r="I99" s="36">
        <f>SUM(I100:I105)</f>
        <v>1796000</v>
      </c>
      <c r="J99" s="36">
        <f t="shared" ref="J99:N99" si="41">SUM(J100:J105)</f>
        <v>3000</v>
      </c>
      <c r="K99" s="36">
        <f t="shared" si="41"/>
        <v>0</v>
      </c>
      <c r="L99" s="36">
        <f t="shared" si="41"/>
        <v>1799000</v>
      </c>
      <c r="M99" s="36">
        <f t="shared" si="41"/>
        <v>2248750</v>
      </c>
      <c r="N99" s="36">
        <f t="shared" si="41"/>
        <v>2248750</v>
      </c>
      <c r="O99" s="38"/>
    </row>
    <row r="100" spans="1:15" ht="24.95" customHeight="1" x14ac:dyDescent="0.25">
      <c r="A100" s="22"/>
      <c r="B100" s="23"/>
      <c r="C100" s="24"/>
      <c r="D100" s="24"/>
      <c r="E100" s="24"/>
      <c r="F100" s="24"/>
      <c r="G100" s="25"/>
      <c r="H100" s="26" t="s">
        <v>99</v>
      </c>
      <c r="I100" s="55">
        <v>915000</v>
      </c>
      <c r="J100" s="55">
        <v>0</v>
      </c>
      <c r="K100" s="55">
        <v>0</v>
      </c>
      <c r="L100" s="55">
        <f t="shared" ref="L100:L105" si="42">SUM(I100:K100)</f>
        <v>915000</v>
      </c>
      <c r="M100" s="45">
        <f t="shared" ref="M100:M105" si="43">L100*1.25</f>
        <v>1143750</v>
      </c>
      <c r="N100" s="27">
        <f>M100</f>
        <v>1143750</v>
      </c>
      <c r="O100" s="28"/>
    </row>
    <row r="101" spans="1:15" ht="24.95" customHeight="1" x14ac:dyDescent="0.25">
      <c r="A101" s="22"/>
      <c r="B101" s="23"/>
      <c r="C101" s="24"/>
      <c r="D101" s="24"/>
      <c r="E101" s="24"/>
      <c r="F101" s="24"/>
      <c r="G101" s="25" t="s">
        <v>0</v>
      </c>
      <c r="H101" s="26" t="s">
        <v>100</v>
      </c>
      <c r="I101" s="55">
        <v>545000</v>
      </c>
      <c r="J101" s="55">
        <v>0</v>
      </c>
      <c r="K101" s="55">
        <v>0</v>
      </c>
      <c r="L101" s="55">
        <f t="shared" si="42"/>
        <v>545000</v>
      </c>
      <c r="M101" s="45">
        <f t="shared" si="43"/>
        <v>681250</v>
      </c>
      <c r="N101" s="27">
        <f t="shared" ref="N101:N105" si="44">M101</f>
        <v>681250</v>
      </c>
      <c r="O101" s="28"/>
    </row>
    <row r="102" spans="1:15" ht="24.95" customHeight="1" x14ac:dyDescent="0.25">
      <c r="A102" s="22"/>
      <c r="B102" s="23"/>
      <c r="C102" s="24"/>
      <c r="D102" s="24"/>
      <c r="E102" s="24"/>
      <c r="F102" s="24"/>
      <c r="G102" s="25"/>
      <c r="H102" s="26" t="s">
        <v>101</v>
      </c>
      <c r="I102" s="55">
        <v>133000</v>
      </c>
      <c r="J102" s="55">
        <v>0</v>
      </c>
      <c r="K102" s="55">
        <v>0</v>
      </c>
      <c r="L102" s="55">
        <f t="shared" si="42"/>
        <v>133000</v>
      </c>
      <c r="M102" s="45">
        <f t="shared" si="43"/>
        <v>166250</v>
      </c>
      <c r="N102" s="27">
        <f t="shared" si="44"/>
        <v>166250</v>
      </c>
      <c r="O102" s="28"/>
    </row>
    <row r="103" spans="1:15" ht="24.95" customHeight="1" x14ac:dyDescent="0.25">
      <c r="A103" s="22"/>
      <c r="B103" s="23"/>
      <c r="C103" s="24"/>
      <c r="D103" s="24"/>
      <c r="E103" s="24"/>
      <c r="F103" s="24"/>
      <c r="G103" s="25"/>
      <c r="H103" s="26" t="s">
        <v>95</v>
      </c>
      <c r="I103" s="55">
        <v>180000</v>
      </c>
      <c r="J103" s="55">
        <v>0</v>
      </c>
      <c r="K103" s="55">
        <v>0</v>
      </c>
      <c r="L103" s="55">
        <f t="shared" si="42"/>
        <v>180000</v>
      </c>
      <c r="M103" s="45">
        <f t="shared" si="43"/>
        <v>225000</v>
      </c>
      <c r="N103" s="27">
        <f t="shared" si="44"/>
        <v>225000</v>
      </c>
      <c r="O103" s="28"/>
    </row>
    <row r="104" spans="1:15" ht="24.95" customHeight="1" x14ac:dyDescent="0.25">
      <c r="A104" s="22"/>
      <c r="B104" s="23"/>
      <c r="C104" s="24"/>
      <c r="D104" s="24"/>
      <c r="E104" s="24"/>
      <c r="F104" s="24"/>
      <c r="G104" s="25"/>
      <c r="H104" s="26" t="s">
        <v>102</v>
      </c>
      <c r="I104" s="55">
        <v>15000</v>
      </c>
      <c r="J104" s="55">
        <v>3000</v>
      </c>
      <c r="K104" s="55">
        <v>0</v>
      </c>
      <c r="L104" s="55">
        <f t="shared" si="42"/>
        <v>18000</v>
      </c>
      <c r="M104" s="45">
        <f t="shared" si="43"/>
        <v>22500</v>
      </c>
      <c r="N104" s="27">
        <f t="shared" si="44"/>
        <v>22500</v>
      </c>
      <c r="O104" s="28"/>
    </row>
    <row r="105" spans="1:15" ht="24.95" customHeight="1" x14ac:dyDescent="0.25">
      <c r="A105" s="22"/>
      <c r="B105" s="23"/>
      <c r="C105" s="24"/>
      <c r="D105" s="24"/>
      <c r="E105" s="24"/>
      <c r="F105" s="24"/>
      <c r="G105" s="25"/>
      <c r="H105" s="26" t="s">
        <v>103</v>
      </c>
      <c r="I105" s="55">
        <v>8000</v>
      </c>
      <c r="J105" s="55">
        <v>0</v>
      </c>
      <c r="K105" s="55">
        <v>0</v>
      </c>
      <c r="L105" s="55">
        <f t="shared" si="42"/>
        <v>8000</v>
      </c>
      <c r="M105" s="45">
        <f t="shared" si="43"/>
        <v>10000</v>
      </c>
      <c r="N105" s="27">
        <f t="shared" si="44"/>
        <v>10000</v>
      </c>
      <c r="O105" s="28"/>
    </row>
    <row r="106" spans="1:15" ht="36" x14ac:dyDescent="0.25">
      <c r="A106" s="31" t="s">
        <v>312</v>
      </c>
      <c r="B106" s="32" t="s">
        <v>256</v>
      </c>
      <c r="C106" s="33" t="s">
        <v>14</v>
      </c>
      <c r="D106" s="33" t="s">
        <v>15</v>
      </c>
      <c r="E106" s="33" t="s">
        <v>243</v>
      </c>
      <c r="F106" s="33" t="s">
        <v>16</v>
      </c>
      <c r="G106" s="34">
        <v>3222133</v>
      </c>
      <c r="H106" s="35" t="s">
        <v>104</v>
      </c>
      <c r="I106" s="36">
        <f>SUM(I107:I110)</f>
        <v>750000</v>
      </c>
      <c r="J106" s="36">
        <f t="shared" ref="J106:N106" si="45">SUM(J107:J110)</f>
        <v>0</v>
      </c>
      <c r="K106" s="36">
        <f t="shared" si="45"/>
        <v>0</v>
      </c>
      <c r="L106" s="36">
        <f t="shared" si="45"/>
        <v>750000</v>
      </c>
      <c r="M106" s="36">
        <f t="shared" si="45"/>
        <v>937500</v>
      </c>
      <c r="N106" s="36">
        <f t="shared" si="45"/>
        <v>937500</v>
      </c>
      <c r="O106" s="38" t="s">
        <v>13</v>
      </c>
    </row>
    <row r="107" spans="1:15" ht="24.95" customHeight="1" x14ac:dyDescent="0.25">
      <c r="A107" s="22"/>
      <c r="B107" s="23"/>
      <c r="C107" s="24"/>
      <c r="D107" s="24"/>
      <c r="E107" s="24"/>
      <c r="F107" s="24"/>
      <c r="G107" s="25"/>
      <c r="H107" s="26" t="s">
        <v>105</v>
      </c>
      <c r="I107" s="27">
        <v>80000</v>
      </c>
      <c r="J107" s="27">
        <v>0</v>
      </c>
      <c r="K107" s="27">
        <v>0</v>
      </c>
      <c r="L107" s="27">
        <f t="shared" ref="L107:L110" si="46">SUM(I107:K107)</f>
        <v>80000</v>
      </c>
      <c r="M107" s="45">
        <f t="shared" ref="M107:M110" si="47">L107*1.25</f>
        <v>100000</v>
      </c>
      <c r="N107" s="27">
        <f>M107</f>
        <v>100000</v>
      </c>
      <c r="O107" s="28"/>
    </row>
    <row r="108" spans="1:15" ht="36" x14ac:dyDescent="0.25">
      <c r="A108" s="22"/>
      <c r="B108" s="23"/>
      <c r="C108" s="24"/>
      <c r="D108" s="24"/>
      <c r="E108" s="24"/>
      <c r="F108" s="24"/>
      <c r="G108" s="25"/>
      <c r="H108" s="26" t="s">
        <v>106</v>
      </c>
      <c r="I108" s="27">
        <v>120000</v>
      </c>
      <c r="J108" s="27">
        <v>0</v>
      </c>
      <c r="K108" s="27">
        <v>0</v>
      </c>
      <c r="L108" s="27">
        <f t="shared" si="46"/>
        <v>120000</v>
      </c>
      <c r="M108" s="45">
        <f t="shared" si="47"/>
        <v>150000</v>
      </c>
      <c r="N108" s="27">
        <f t="shared" ref="N108:N110" si="48">M108</f>
        <v>150000</v>
      </c>
      <c r="O108" s="28"/>
    </row>
    <row r="109" spans="1:15" ht="24.95" customHeight="1" x14ac:dyDescent="0.25">
      <c r="A109" s="65"/>
      <c r="B109" s="29"/>
      <c r="C109" s="66"/>
      <c r="D109" s="66"/>
      <c r="E109" s="66"/>
      <c r="F109" s="66"/>
      <c r="G109" s="67"/>
      <c r="H109" s="64" t="s">
        <v>107</v>
      </c>
      <c r="I109" s="27">
        <v>500000</v>
      </c>
      <c r="J109" s="27">
        <v>0</v>
      </c>
      <c r="K109" s="27">
        <v>0</v>
      </c>
      <c r="L109" s="27">
        <f t="shared" si="46"/>
        <v>500000</v>
      </c>
      <c r="M109" s="45">
        <f t="shared" si="47"/>
        <v>625000</v>
      </c>
      <c r="N109" s="27">
        <f t="shared" si="48"/>
        <v>625000</v>
      </c>
      <c r="O109" s="68"/>
    </row>
    <row r="110" spans="1:15" ht="24.95" customHeight="1" x14ac:dyDescent="0.25">
      <c r="A110" s="65"/>
      <c r="B110" s="29"/>
      <c r="C110" s="66"/>
      <c r="D110" s="66"/>
      <c r="E110" s="66"/>
      <c r="F110" s="66"/>
      <c r="G110" s="67"/>
      <c r="H110" s="64" t="s">
        <v>237</v>
      </c>
      <c r="I110" s="27">
        <v>50000</v>
      </c>
      <c r="J110" s="27">
        <v>0</v>
      </c>
      <c r="K110" s="27">
        <v>0</v>
      </c>
      <c r="L110" s="27">
        <f t="shared" si="46"/>
        <v>50000</v>
      </c>
      <c r="M110" s="45">
        <f t="shared" si="47"/>
        <v>62500</v>
      </c>
      <c r="N110" s="27">
        <f t="shared" si="48"/>
        <v>62500</v>
      </c>
      <c r="O110" s="68"/>
    </row>
    <row r="111" spans="1:15" ht="36" x14ac:dyDescent="0.25">
      <c r="A111" s="31" t="s">
        <v>313</v>
      </c>
      <c r="B111" s="32" t="s">
        <v>248</v>
      </c>
      <c r="C111" s="33" t="s">
        <v>12</v>
      </c>
      <c r="D111" s="33"/>
      <c r="E111" s="33"/>
      <c r="F111" s="33"/>
      <c r="G111" s="34">
        <v>3222133</v>
      </c>
      <c r="H111" s="35" t="s">
        <v>108</v>
      </c>
      <c r="I111" s="36">
        <v>151000</v>
      </c>
      <c r="J111" s="36">
        <v>-1000</v>
      </c>
      <c r="K111" s="36">
        <v>0</v>
      </c>
      <c r="L111" s="36">
        <f>SUM(I111:K111)</f>
        <v>150000</v>
      </c>
      <c r="M111" s="36">
        <f>L111*1.25</f>
        <v>187500</v>
      </c>
      <c r="N111" s="36">
        <f>M111</f>
        <v>187500</v>
      </c>
      <c r="O111" s="38" t="s">
        <v>13</v>
      </c>
    </row>
    <row r="112" spans="1:15" ht="27" customHeight="1" x14ac:dyDescent="0.25">
      <c r="A112" s="31" t="s">
        <v>355</v>
      </c>
      <c r="B112" s="32" t="s">
        <v>256</v>
      </c>
      <c r="C112" s="33" t="s">
        <v>12</v>
      </c>
      <c r="D112" s="33"/>
      <c r="E112" s="33"/>
      <c r="F112" s="33"/>
      <c r="G112" s="34">
        <v>3222133</v>
      </c>
      <c r="H112" s="35" t="s">
        <v>356</v>
      </c>
      <c r="I112" s="36">
        <v>0</v>
      </c>
      <c r="J112" s="36">
        <v>0</v>
      </c>
      <c r="K112" s="36">
        <v>120000</v>
      </c>
      <c r="L112" s="36">
        <f>SUM(I112:K112)</f>
        <v>120000</v>
      </c>
      <c r="M112" s="36">
        <f>L112*1.25</f>
        <v>150000</v>
      </c>
      <c r="N112" s="36">
        <f>M112</f>
        <v>150000</v>
      </c>
      <c r="O112" s="38" t="s">
        <v>13</v>
      </c>
    </row>
    <row r="113" spans="1:15" ht="36" x14ac:dyDescent="0.25">
      <c r="A113" s="31"/>
      <c r="B113" s="32" t="s">
        <v>251</v>
      </c>
      <c r="C113" s="33" t="s">
        <v>14</v>
      </c>
      <c r="D113" s="33" t="s">
        <v>223</v>
      </c>
      <c r="E113" s="33"/>
      <c r="F113" s="33" t="s">
        <v>20</v>
      </c>
      <c r="G113" s="34">
        <v>3222135</v>
      </c>
      <c r="H113" s="35" t="s">
        <v>109</v>
      </c>
      <c r="I113" s="36">
        <f>SUM(I114:I115)</f>
        <v>460000</v>
      </c>
      <c r="J113" s="36">
        <f t="shared" ref="J113:N113" si="49">SUM(J114:J115)</f>
        <v>0</v>
      </c>
      <c r="K113" s="36">
        <f t="shared" si="49"/>
        <v>-100000</v>
      </c>
      <c r="L113" s="36">
        <f t="shared" si="49"/>
        <v>360000</v>
      </c>
      <c r="M113" s="36">
        <f t="shared" si="49"/>
        <v>450000</v>
      </c>
      <c r="N113" s="36">
        <f t="shared" si="49"/>
        <v>225000</v>
      </c>
      <c r="O113" s="38" t="s">
        <v>13</v>
      </c>
    </row>
    <row r="114" spans="1:15" ht="24.95" customHeight="1" x14ac:dyDescent="0.25">
      <c r="A114" s="22"/>
      <c r="B114" s="23"/>
      <c r="C114" s="24"/>
      <c r="D114" s="24"/>
      <c r="E114" s="24"/>
      <c r="F114" s="24"/>
      <c r="G114" s="25"/>
      <c r="H114" s="26" t="s">
        <v>110</v>
      </c>
      <c r="I114" s="27">
        <f>180000*2</f>
        <v>360000</v>
      </c>
      <c r="J114" s="27">
        <v>0</v>
      </c>
      <c r="K114" s="27">
        <v>-100000</v>
      </c>
      <c r="L114" s="27">
        <f t="shared" ref="L114:L115" si="50">SUM(I114:K114)</f>
        <v>260000</v>
      </c>
      <c r="M114" s="27">
        <f t="shared" ref="M114:M115" si="51">L114*1.25</f>
        <v>325000</v>
      </c>
      <c r="N114" s="27">
        <f>M114/2</f>
        <v>162500</v>
      </c>
      <c r="O114" s="28"/>
    </row>
    <row r="115" spans="1:15" ht="24.95" customHeight="1" x14ac:dyDescent="0.25">
      <c r="A115" s="22"/>
      <c r="B115" s="23"/>
      <c r="C115" s="24"/>
      <c r="D115" s="24"/>
      <c r="E115" s="24"/>
      <c r="F115" s="24"/>
      <c r="G115" s="25"/>
      <c r="H115" s="26" t="s">
        <v>111</v>
      </c>
      <c r="I115" s="27">
        <v>100000</v>
      </c>
      <c r="J115" s="27">
        <v>0</v>
      </c>
      <c r="K115" s="27">
        <v>0</v>
      </c>
      <c r="L115" s="27">
        <f t="shared" si="50"/>
        <v>100000</v>
      </c>
      <c r="M115" s="27">
        <f t="shared" si="51"/>
        <v>125000</v>
      </c>
      <c r="N115" s="27">
        <f>M115/2</f>
        <v>62500</v>
      </c>
      <c r="O115" s="28"/>
    </row>
    <row r="116" spans="1:15" ht="24" x14ac:dyDescent="0.25">
      <c r="A116" s="31" t="s">
        <v>374</v>
      </c>
      <c r="B116" s="32" t="s">
        <v>257</v>
      </c>
      <c r="C116" s="33" t="s">
        <v>12</v>
      </c>
      <c r="D116" s="33"/>
      <c r="E116" s="33"/>
      <c r="F116" s="33"/>
      <c r="G116" s="34">
        <v>3222137</v>
      </c>
      <c r="H116" s="35" t="s">
        <v>112</v>
      </c>
      <c r="I116" s="36">
        <v>100000</v>
      </c>
      <c r="J116" s="36">
        <v>0</v>
      </c>
      <c r="K116" s="36">
        <v>40000</v>
      </c>
      <c r="L116" s="36">
        <f>SUM(I116:K116)</f>
        <v>140000</v>
      </c>
      <c r="M116" s="36">
        <f>L116*1.25</f>
        <v>175000</v>
      </c>
      <c r="N116" s="36">
        <f>M116</f>
        <v>175000</v>
      </c>
      <c r="O116" s="38" t="s">
        <v>13</v>
      </c>
    </row>
    <row r="117" spans="1:15" ht="69.75" customHeight="1" x14ac:dyDescent="0.25">
      <c r="A117" s="31" t="s">
        <v>314</v>
      </c>
      <c r="B117" s="32">
        <v>22820000</v>
      </c>
      <c r="C117" s="33" t="s">
        <v>113</v>
      </c>
      <c r="D117" s="33" t="s">
        <v>15</v>
      </c>
      <c r="E117" s="63" t="s">
        <v>243</v>
      </c>
      <c r="F117" s="33" t="s">
        <v>16</v>
      </c>
      <c r="G117" s="34">
        <v>3222138</v>
      </c>
      <c r="H117" s="35" t="s">
        <v>114</v>
      </c>
      <c r="I117" s="36">
        <v>250000</v>
      </c>
      <c r="J117" s="36">
        <v>0</v>
      </c>
      <c r="K117" s="36">
        <v>3000</v>
      </c>
      <c r="L117" s="36">
        <f>SUM(I117:K117)</f>
        <v>253000</v>
      </c>
      <c r="M117" s="36">
        <f>L117*1.25</f>
        <v>316250</v>
      </c>
      <c r="N117" s="36">
        <f>I117*1.17</f>
        <v>292500</v>
      </c>
      <c r="O117" s="38" t="s">
        <v>13</v>
      </c>
    </row>
    <row r="118" spans="1:15" ht="33.75" customHeight="1" x14ac:dyDescent="0.25">
      <c r="A118" s="31" t="s">
        <v>311</v>
      </c>
      <c r="B118" s="32">
        <v>33694000</v>
      </c>
      <c r="C118" s="33" t="s">
        <v>14</v>
      </c>
      <c r="D118" s="33" t="s">
        <v>15</v>
      </c>
      <c r="E118" s="63" t="s">
        <v>245</v>
      </c>
      <c r="F118" s="33" t="s">
        <v>20</v>
      </c>
      <c r="G118" s="34">
        <v>3222139</v>
      </c>
      <c r="H118" s="35" t="s">
        <v>115</v>
      </c>
      <c r="I118" s="36">
        <f>I119+I120+I121+I122</f>
        <v>612000</v>
      </c>
      <c r="J118" s="36">
        <f t="shared" ref="J118:N118" si="52">J119+J120+J121+J122</f>
        <v>0</v>
      </c>
      <c r="K118" s="36">
        <f t="shared" si="52"/>
        <v>0</v>
      </c>
      <c r="L118" s="36">
        <f t="shared" si="52"/>
        <v>612000</v>
      </c>
      <c r="M118" s="36">
        <f t="shared" si="52"/>
        <v>765000</v>
      </c>
      <c r="N118" s="36">
        <f t="shared" si="52"/>
        <v>382500</v>
      </c>
      <c r="O118" s="38" t="s">
        <v>13</v>
      </c>
    </row>
    <row r="119" spans="1:15" ht="24.95" customHeight="1" x14ac:dyDescent="0.25">
      <c r="A119" s="22"/>
      <c r="B119" s="23"/>
      <c r="C119" s="24"/>
      <c r="D119" s="24"/>
      <c r="E119" s="24"/>
      <c r="F119" s="24"/>
      <c r="G119" s="25"/>
      <c r="H119" s="26" t="s">
        <v>116</v>
      </c>
      <c r="I119" s="27">
        <v>145000</v>
      </c>
      <c r="J119" s="27">
        <v>0</v>
      </c>
      <c r="K119" s="27">
        <v>0</v>
      </c>
      <c r="L119" s="27">
        <f t="shared" ref="L119:L122" si="53">SUM(I119:K119)</f>
        <v>145000</v>
      </c>
      <c r="M119" s="27">
        <f t="shared" ref="M119:M122" si="54">L119*1.25</f>
        <v>181250</v>
      </c>
      <c r="N119" s="27">
        <f>M119/2</f>
        <v>90625</v>
      </c>
      <c r="O119" s="28"/>
    </row>
    <row r="120" spans="1:15" ht="27.75" customHeight="1" x14ac:dyDescent="0.25">
      <c r="A120" s="22"/>
      <c r="B120" s="23"/>
      <c r="C120" s="24"/>
      <c r="D120" s="24"/>
      <c r="E120" s="24"/>
      <c r="F120" s="24"/>
      <c r="G120" s="25"/>
      <c r="H120" s="26" t="s">
        <v>117</v>
      </c>
      <c r="I120" s="27">
        <v>200000</v>
      </c>
      <c r="J120" s="27">
        <v>0</v>
      </c>
      <c r="K120" s="27">
        <v>0</v>
      </c>
      <c r="L120" s="27">
        <f t="shared" si="53"/>
        <v>200000</v>
      </c>
      <c r="M120" s="27">
        <f t="shared" si="54"/>
        <v>250000</v>
      </c>
      <c r="N120" s="27">
        <f t="shared" ref="N120:N122" si="55">M120/2</f>
        <v>125000</v>
      </c>
      <c r="O120" s="28"/>
    </row>
    <row r="121" spans="1:15" ht="27.75" customHeight="1" x14ac:dyDescent="0.25">
      <c r="A121" s="22"/>
      <c r="B121" s="23"/>
      <c r="C121" s="24"/>
      <c r="D121" s="24"/>
      <c r="E121" s="24"/>
      <c r="F121" s="24"/>
      <c r="G121" s="25"/>
      <c r="H121" s="61" t="s">
        <v>291</v>
      </c>
      <c r="I121" s="55">
        <v>267000</v>
      </c>
      <c r="J121" s="55">
        <v>0</v>
      </c>
      <c r="K121" s="55">
        <v>-16000</v>
      </c>
      <c r="L121" s="55">
        <f t="shared" si="53"/>
        <v>251000</v>
      </c>
      <c r="M121" s="55">
        <f t="shared" si="54"/>
        <v>313750</v>
      </c>
      <c r="N121" s="27">
        <f t="shared" si="55"/>
        <v>156875</v>
      </c>
      <c r="O121" s="28"/>
    </row>
    <row r="122" spans="1:15" ht="24.75" customHeight="1" x14ac:dyDescent="0.25">
      <c r="A122" s="57"/>
      <c r="B122" s="58"/>
      <c r="C122" s="59"/>
      <c r="D122" s="59"/>
      <c r="E122" s="59"/>
      <c r="F122" s="59"/>
      <c r="G122" s="60"/>
      <c r="H122" s="61" t="s">
        <v>350</v>
      </c>
      <c r="I122" s="55">
        <v>0</v>
      </c>
      <c r="J122" s="55">
        <v>0</v>
      </c>
      <c r="K122" s="55">
        <v>16000</v>
      </c>
      <c r="L122" s="55">
        <f t="shared" si="53"/>
        <v>16000</v>
      </c>
      <c r="M122" s="55">
        <f t="shared" si="54"/>
        <v>20000</v>
      </c>
      <c r="N122" s="27">
        <f t="shared" si="55"/>
        <v>10000</v>
      </c>
      <c r="O122" s="62"/>
    </row>
    <row r="123" spans="1:15" ht="24" x14ac:dyDescent="0.25">
      <c r="A123" s="31"/>
      <c r="B123" s="32"/>
      <c r="C123" s="33"/>
      <c r="D123" s="33"/>
      <c r="E123" s="33"/>
      <c r="F123" s="33"/>
      <c r="G123" s="34">
        <v>3222140</v>
      </c>
      <c r="H123" s="35" t="s">
        <v>226</v>
      </c>
      <c r="I123" s="36">
        <f>SUM(I124:I125)</f>
        <v>670000</v>
      </c>
      <c r="J123" s="36">
        <f t="shared" ref="J123:N123" si="56">SUM(J124:J125)</f>
        <v>0</v>
      </c>
      <c r="K123" s="36">
        <f t="shared" si="56"/>
        <v>0</v>
      </c>
      <c r="L123" s="36">
        <f t="shared" si="56"/>
        <v>670000</v>
      </c>
      <c r="M123" s="36">
        <f t="shared" si="56"/>
        <v>837500</v>
      </c>
      <c r="N123" s="36">
        <f t="shared" si="56"/>
        <v>837500</v>
      </c>
      <c r="O123" s="38" t="s">
        <v>13</v>
      </c>
    </row>
    <row r="124" spans="1:15" ht="36.75" customHeight="1" x14ac:dyDescent="0.25">
      <c r="A124" s="22" t="s">
        <v>351</v>
      </c>
      <c r="B124" s="29" t="s">
        <v>251</v>
      </c>
      <c r="C124" s="24" t="s">
        <v>12</v>
      </c>
      <c r="D124" s="24"/>
      <c r="E124" s="24"/>
      <c r="F124" s="24"/>
      <c r="G124" s="60">
        <v>3222140</v>
      </c>
      <c r="H124" s="64" t="s">
        <v>118</v>
      </c>
      <c r="I124" s="69">
        <v>190000</v>
      </c>
      <c r="J124" s="69">
        <v>0</v>
      </c>
      <c r="K124" s="69">
        <v>0</v>
      </c>
      <c r="L124" s="69">
        <f t="shared" ref="L124:L125" si="57">SUM(I124:K124)</f>
        <v>190000</v>
      </c>
      <c r="M124" s="27">
        <f t="shared" ref="M124:M125" si="58">L124*1.25</f>
        <v>237500</v>
      </c>
      <c r="N124" s="27">
        <f>M124</f>
        <v>237500</v>
      </c>
      <c r="O124" s="62" t="s">
        <v>13</v>
      </c>
    </row>
    <row r="125" spans="1:15" ht="37.5" customHeight="1" x14ac:dyDescent="0.25">
      <c r="A125" s="57" t="s">
        <v>328</v>
      </c>
      <c r="B125" s="58" t="s">
        <v>248</v>
      </c>
      <c r="C125" s="59" t="s">
        <v>14</v>
      </c>
      <c r="D125" s="59" t="s">
        <v>15</v>
      </c>
      <c r="E125" s="59" t="s">
        <v>365</v>
      </c>
      <c r="F125" s="59" t="s">
        <v>16</v>
      </c>
      <c r="G125" s="60">
        <v>3222140</v>
      </c>
      <c r="H125" s="61" t="s">
        <v>227</v>
      </c>
      <c r="I125" s="55">
        <v>480000</v>
      </c>
      <c r="J125" s="55">
        <v>0</v>
      </c>
      <c r="K125" s="55">
        <v>0</v>
      </c>
      <c r="L125" s="55">
        <f t="shared" si="57"/>
        <v>480000</v>
      </c>
      <c r="M125" s="55">
        <f t="shared" si="58"/>
        <v>600000</v>
      </c>
      <c r="N125" s="55">
        <f>M125</f>
        <v>600000</v>
      </c>
      <c r="O125" s="62" t="s">
        <v>13</v>
      </c>
    </row>
    <row r="126" spans="1:15" ht="24.95" customHeight="1" x14ac:dyDescent="0.25">
      <c r="A126" s="70"/>
      <c r="B126" s="71"/>
      <c r="C126" s="72"/>
      <c r="D126" s="72"/>
      <c r="E126" s="72"/>
      <c r="F126" s="72"/>
      <c r="G126" s="73">
        <v>32229</v>
      </c>
      <c r="H126" s="74" t="s">
        <v>119</v>
      </c>
      <c r="I126" s="75">
        <f>I127</f>
        <v>200000</v>
      </c>
      <c r="J126" s="75">
        <f t="shared" ref="J126:N126" si="59">J127</f>
        <v>0</v>
      </c>
      <c r="K126" s="75">
        <f t="shared" si="59"/>
        <v>0</v>
      </c>
      <c r="L126" s="75">
        <f t="shared" si="59"/>
        <v>200000</v>
      </c>
      <c r="M126" s="75">
        <f t="shared" si="59"/>
        <v>250000</v>
      </c>
      <c r="N126" s="75">
        <f t="shared" si="59"/>
        <v>200000</v>
      </c>
      <c r="O126" s="76"/>
    </row>
    <row r="127" spans="1:15" ht="35.25" customHeight="1" x14ac:dyDescent="0.25">
      <c r="A127" s="39"/>
      <c r="B127" s="40" t="s">
        <v>258</v>
      </c>
      <c r="C127" s="41" t="s">
        <v>14</v>
      </c>
      <c r="D127" s="41" t="s">
        <v>15</v>
      </c>
      <c r="E127" s="41" t="s">
        <v>241</v>
      </c>
      <c r="F127" s="41" t="s">
        <v>16</v>
      </c>
      <c r="G127" s="43">
        <v>3222921</v>
      </c>
      <c r="H127" s="44" t="s">
        <v>120</v>
      </c>
      <c r="I127" s="45">
        <v>200000</v>
      </c>
      <c r="J127" s="45">
        <v>0</v>
      </c>
      <c r="K127" s="45">
        <v>0</v>
      </c>
      <c r="L127" s="45">
        <f>SUM(I127:K127)</f>
        <v>200000</v>
      </c>
      <c r="M127" s="45">
        <f>L127*1.25</f>
        <v>250000</v>
      </c>
      <c r="N127" s="45">
        <f>L127</f>
        <v>200000</v>
      </c>
      <c r="O127" s="46" t="s">
        <v>13</v>
      </c>
    </row>
    <row r="128" spans="1:15" ht="24.95" customHeight="1" x14ac:dyDescent="0.25">
      <c r="A128" s="70"/>
      <c r="B128" s="71"/>
      <c r="C128" s="72"/>
      <c r="D128" s="72"/>
      <c r="E128" s="72"/>
      <c r="F128" s="72"/>
      <c r="G128" s="73">
        <v>3223</v>
      </c>
      <c r="H128" s="74" t="s">
        <v>121</v>
      </c>
      <c r="I128" s="75">
        <f>SUM(I129:I132)</f>
        <v>1610000</v>
      </c>
      <c r="J128" s="75">
        <f t="shared" ref="J128:N128" si="60">SUM(J129:J132)</f>
        <v>0</v>
      </c>
      <c r="K128" s="75">
        <f t="shared" si="60"/>
        <v>0</v>
      </c>
      <c r="L128" s="75">
        <f t="shared" si="60"/>
        <v>1610000</v>
      </c>
      <c r="M128" s="75">
        <f t="shared" si="60"/>
        <v>2012500</v>
      </c>
      <c r="N128" s="75">
        <f t="shared" si="60"/>
        <v>1887725</v>
      </c>
      <c r="O128" s="77"/>
    </row>
    <row r="129" spans="1:15" s="4" customFormat="1" ht="24.95" customHeight="1" x14ac:dyDescent="0.25">
      <c r="A129" s="39"/>
      <c r="B129" s="40"/>
      <c r="C129" s="41"/>
      <c r="D129" s="41"/>
      <c r="E129" s="41"/>
      <c r="F129" s="41"/>
      <c r="G129" s="43">
        <v>32231</v>
      </c>
      <c r="H129" s="44" t="s">
        <v>122</v>
      </c>
      <c r="I129" s="45">
        <v>290000</v>
      </c>
      <c r="J129" s="45">
        <v>0</v>
      </c>
      <c r="K129" s="45">
        <v>0</v>
      </c>
      <c r="L129" s="45">
        <f t="shared" ref="L129:L132" si="61">SUM(I129:K129)</f>
        <v>290000</v>
      </c>
      <c r="M129" s="45">
        <f t="shared" ref="M129:M132" si="62">L129*1.25</f>
        <v>362500</v>
      </c>
      <c r="N129" s="45">
        <f>L129*1.1725</f>
        <v>340025</v>
      </c>
      <c r="O129" s="78" t="s">
        <v>126</v>
      </c>
    </row>
    <row r="130" spans="1:15" s="4" customFormat="1" ht="30" customHeight="1" x14ac:dyDescent="0.25">
      <c r="A130" s="39"/>
      <c r="B130" s="40"/>
      <c r="C130" s="41"/>
      <c r="D130" s="41"/>
      <c r="E130" s="41"/>
      <c r="F130" s="41"/>
      <c r="G130" s="43">
        <v>32231</v>
      </c>
      <c r="H130" s="44" t="s">
        <v>123</v>
      </c>
      <c r="I130" s="45">
        <v>350000</v>
      </c>
      <c r="J130" s="45">
        <v>0</v>
      </c>
      <c r="K130" s="45">
        <v>0</v>
      </c>
      <c r="L130" s="45">
        <f t="shared" si="61"/>
        <v>350000</v>
      </c>
      <c r="M130" s="45">
        <f t="shared" si="62"/>
        <v>437500</v>
      </c>
      <c r="N130" s="45">
        <f t="shared" ref="N130:N132" si="63">L130*1.1725</f>
        <v>410375.00000000006</v>
      </c>
      <c r="O130" s="78" t="s">
        <v>126</v>
      </c>
    </row>
    <row r="131" spans="1:15" s="4" customFormat="1" ht="24.95" customHeight="1" x14ac:dyDescent="0.25">
      <c r="A131" s="39"/>
      <c r="B131" s="40"/>
      <c r="C131" s="41"/>
      <c r="D131" s="41"/>
      <c r="E131" s="41"/>
      <c r="F131" s="41"/>
      <c r="G131" s="43">
        <v>32233</v>
      </c>
      <c r="H131" s="44" t="s">
        <v>124</v>
      </c>
      <c r="I131" s="45">
        <v>590000</v>
      </c>
      <c r="J131" s="45">
        <v>0</v>
      </c>
      <c r="K131" s="45">
        <v>0</v>
      </c>
      <c r="L131" s="45">
        <f t="shared" si="61"/>
        <v>590000</v>
      </c>
      <c r="M131" s="45">
        <f t="shared" si="62"/>
        <v>737500</v>
      </c>
      <c r="N131" s="45">
        <f t="shared" si="63"/>
        <v>691775</v>
      </c>
      <c r="O131" s="78" t="s">
        <v>126</v>
      </c>
    </row>
    <row r="132" spans="1:15" s="4" customFormat="1" ht="27" customHeight="1" x14ac:dyDescent="0.25">
      <c r="A132" s="79"/>
      <c r="B132" s="40"/>
      <c r="C132" s="44"/>
      <c r="D132" s="44"/>
      <c r="E132" s="44"/>
      <c r="F132" s="44"/>
      <c r="G132" s="43">
        <v>32234</v>
      </c>
      <c r="H132" s="44" t="s">
        <v>125</v>
      </c>
      <c r="I132" s="80">
        <v>380000</v>
      </c>
      <c r="J132" s="80">
        <v>0</v>
      </c>
      <c r="K132" s="80">
        <v>0</v>
      </c>
      <c r="L132" s="80">
        <f t="shared" si="61"/>
        <v>380000</v>
      </c>
      <c r="M132" s="80">
        <f t="shared" si="62"/>
        <v>475000</v>
      </c>
      <c r="N132" s="45">
        <f t="shared" si="63"/>
        <v>445550.00000000006</v>
      </c>
      <c r="O132" s="78" t="s">
        <v>126</v>
      </c>
    </row>
    <row r="133" spans="1:15" ht="36" x14ac:dyDescent="0.25">
      <c r="A133" s="70"/>
      <c r="B133" s="71"/>
      <c r="C133" s="72"/>
      <c r="D133" s="72"/>
      <c r="E133" s="72"/>
      <c r="F133" s="72"/>
      <c r="G133" s="73">
        <v>3224236</v>
      </c>
      <c r="H133" s="74" t="s">
        <v>127</v>
      </c>
      <c r="I133" s="75">
        <f>I134+I141+I147</f>
        <v>820000</v>
      </c>
      <c r="J133" s="75">
        <f t="shared" ref="J133:N133" si="64">J134+J141+J147</f>
        <v>0</v>
      </c>
      <c r="K133" s="75">
        <f t="shared" si="64"/>
        <v>7000</v>
      </c>
      <c r="L133" s="75">
        <f t="shared" si="64"/>
        <v>827000</v>
      </c>
      <c r="M133" s="75">
        <f t="shared" si="64"/>
        <v>1033750</v>
      </c>
      <c r="N133" s="75">
        <f t="shared" si="64"/>
        <v>827000</v>
      </c>
      <c r="O133" s="76"/>
    </row>
    <row r="134" spans="1:15" ht="24.95" customHeight="1" x14ac:dyDescent="0.25">
      <c r="A134" s="31"/>
      <c r="B134" s="32">
        <v>24950000</v>
      </c>
      <c r="C134" s="33" t="s">
        <v>14</v>
      </c>
      <c r="D134" s="33" t="s">
        <v>15</v>
      </c>
      <c r="E134" s="63" t="s">
        <v>329</v>
      </c>
      <c r="F134" s="33" t="s">
        <v>16</v>
      </c>
      <c r="G134" s="34">
        <v>3224236</v>
      </c>
      <c r="H134" s="35" t="s">
        <v>128</v>
      </c>
      <c r="I134" s="36">
        <f>SUM(I135:I140)</f>
        <v>280000</v>
      </c>
      <c r="J134" s="36">
        <f t="shared" ref="J134:N134" si="65">SUM(J135:J140)</f>
        <v>0</v>
      </c>
      <c r="K134" s="36">
        <f t="shared" si="65"/>
        <v>0</v>
      </c>
      <c r="L134" s="36">
        <f t="shared" si="65"/>
        <v>280000</v>
      </c>
      <c r="M134" s="36">
        <f t="shared" si="65"/>
        <v>350000</v>
      </c>
      <c r="N134" s="36">
        <f t="shared" si="65"/>
        <v>280000</v>
      </c>
      <c r="O134" s="38" t="s">
        <v>13</v>
      </c>
    </row>
    <row r="135" spans="1:15" ht="24.95" customHeight="1" x14ac:dyDescent="0.25">
      <c r="A135" s="22"/>
      <c r="B135" s="23"/>
      <c r="C135" s="24"/>
      <c r="D135" s="24"/>
      <c r="E135" s="24"/>
      <c r="F135" s="24"/>
      <c r="G135" s="25"/>
      <c r="H135" s="26" t="s">
        <v>129</v>
      </c>
      <c r="I135" s="27">
        <v>10000</v>
      </c>
      <c r="J135" s="27">
        <v>0</v>
      </c>
      <c r="K135" s="27">
        <v>0</v>
      </c>
      <c r="L135" s="27">
        <f t="shared" ref="L135:L140" si="66">SUM(I135:K135)</f>
        <v>10000</v>
      </c>
      <c r="M135" s="55">
        <f t="shared" ref="M135:M140" si="67">L135*1.25</f>
        <v>12500</v>
      </c>
      <c r="N135" s="27">
        <f>L135</f>
        <v>10000</v>
      </c>
      <c r="O135" s="28"/>
    </row>
    <row r="136" spans="1:15" ht="41.25" customHeight="1" x14ac:dyDescent="0.25">
      <c r="A136" s="22"/>
      <c r="B136" s="23"/>
      <c r="C136" s="24"/>
      <c r="D136" s="24"/>
      <c r="E136" s="24"/>
      <c r="F136" s="24"/>
      <c r="G136" s="25"/>
      <c r="H136" s="26" t="s">
        <v>231</v>
      </c>
      <c r="I136" s="27">
        <v>80000</v>
      </c>
      <c r="J136" s="27">
        <v>0</v>
      </c>
      <c r="K136" s="27">
        <v>0</v>
      </c>
      <c r="L136" s="27">
        <f t="shared" si="66"/>
        <v>80000</v>
      </c>
      <c r="M136" s="55">
        <f t="shared" si="67"/>
        <v>100000</v>
      </c>
      <c r="N136" s="27">
        <f t="shared" ref="N136:N140" si="68">L136</f>
        <v>80000</v>
      </c>
      <c r="O136" s="28"/>
    </row>
    <row r="137" spans="1:15" ht="48" x14ac:dyDescent="0.25">
      <c r="A137" s="22"/>
      <c r="B137" s="23"/>
      <c r="C137" s="24"/>
      <c r="D137" s="24"/>
      <c r="E137" s="24"/>
      <c r="F137" s="24"/>
      <c r="G137" s="25"/>
      <c r="H137" s="26" t="s">
        <v>232</v>
      </c>
      <c r="I137" s="27">
        <v>40000</v>
      </c>
      <c r="J137" s="27">
        <v>0</v>
      </c>
      <c r="K137" s="27">
        <v>0</v>
      </c>
      <c r="L137" s="27">
        <f t="shared" si="66"/>
        <v>40000</v>
      </c>
      <c r="M137" s="55">
        <f t="shared" si="67"/>
        <v>50000</v>
      </c>
      <c r="N137" s="27">
        <f t="shared" si="68"/>
        <v>40000</v>
      </c>
      <c r="O137" s="28"/>
    </row>
    <row r="138" spans="1:15" ht="24" x14ac:dyDescent="0.25">
      <c r="A138" s="22"/>
      <c r="B138" s="23"/>
      <c r="C138" s="24"/>
      <c r="D138" s="24"/>
      <c r="E138" s="24"/>
      <c r="F138" s="24"/>
      <c r="G138" s="25"/>
      <c r="H138" s="26" t="s">
        <v>233</v>
      </c>
      <c r="I138" s="27">
        <v>70000</v>
      </c>
      <c r="J138" s="27">
        <v>0</v>
      </c>
      <c r="K138" s="27">
        <v>0</v>
      </c>
      <c r="L138" s="27">
        <f t="shared" si="66"/>
        <v>70000</v>
      </c>
      <c r="M138" s="55">
        <f t="shared" si="67"/>
        <v>87500</v>
      </c>
      <c r="N138" s="27">
        <f t="shared" si="68"/>
        <v>70000</v>
      </c>
      <c r="O138" s="28"/>
    </row>
    <row r="139" spans="1:15" ht="24.95" customHeight="1" x14ac:dyDescent="0.25">
      <c r="A139" s="22"/>
      <c r="B139" s="23"/>
      <c r="C139" s="24"/>
      <c r="D139" s="24"/>
      <c r="E139" s="24"/>
      <c r="F139" s="24"/>
      <c r="G139" s="25"/>
      <c r="H139" s="26" t="s">
        <v>234</v>
      </c>
      <c r="I139" s="27">
        <v>10000</v>
      </c>
      <c r="J139" s="27">
        <v>0</v>
      </c>
      <c r="K139" s="27">
        <v>0</v>
      </c>
      <c r="L139" s="27">
        <f t="shared" si="66"/>
        <v>10000</v>
      </c>
      <c r="M139" s="55">
        <f t="shared" si="67"/>
        <v>12500</v>
      </c>
      <c r="N139" s="27">
        <f t="shared" si="68"/>
        <v>10000</v>
      </c>
      <c r="O139" s="28"/>
    </row>
    <row r="140" spans="1:15" ht="24.95" customHeight="1" x14ac:dyDescent="0.25">
      <c r="A140" s="22"/>
      <c r="B140" s="23"/>
      <c r="C140" s="24"/>
      <c r="D140" s="24"/>
      <c r="E140" s="24"/>
      <c r="F140" s="24"/>
      <c r="G140" s="25"/>
      <c r="H140" s="26" t="s">
        <v>130</v>
      </c>
      <c r="I140" s="27">
        <v>70000</v>
      </c>
      <c r="J140" s="27">
        <v>0</v>
      </c>
      <c r="K140" s="27">
        <v>0</v>
      </c>
      <c r="L140" s="27">
        <f t="shared" si="66"/>
        <v>70000</v>
      </c>
      <c r="M140" s="55">
        <f t="shared" si="67"/>
        <v>87500</v>
      </c>
      <c r="N140" s="27">
        <f t="shared" si="68"/>
        <v>70000</v>
      </c>
      <c r="O140" s="28"/>
    </row>
    <row r="141" spans="1:15" ht="24.95" customHeight="1" x14ac:dyDescent="0.25">
      <c r="A141" s="31" t="s">
        <v>315</v>
      </c>
      <c r="B141" s="32">
        <v>24960000</v>
      </c>
      <c r="C141" s="33" t="s">
        <v>14</v>
      </c>
      <c r="D141" s="33" t="s">
        <v>15</v>
      </c>
      <c r="E141" s="63" t="s">
        <v>327</v>
      </c>
      <c r="F141" s="33" t="s">
        <v>16</v>
      </c>
      <c r="G141" s="34">
        <v>3224236</v>
      </c>
      <c r="H141" s="35" t="s">
        <v>131</v>
      </c>
      <c r="I141" s="36">
        <f>SUM(I142:I146)</f>
        <v>490000</v>
      </c>
      <c r="J141" s="36">
        <f t="shared" ref="J141:N141" si="69">SUM(J142:J146)</f>
        <v>0</v>
      </c>
      <c r="K141" s="36">
        <f>K142+K143+K144+K145+K146</f>
        <v>7000</v>
      </c>
      <c r="L141" s="36">
        <f t="shared" si="69"/>
        <v>497000</v>
      </c>
      <c r="M141" s="36">
        <f t="shared" si="69"/>
        <v>621250</v>
      </c>
      <c r="N141" s="36">
        <f t="shared" si="69"/>
        <v>497000</v>
      </c>
      <c r="O141" s="38" t="s">
        <v>13</v>
      </c>
    </row>
    <row r="142" spans="1:15" ht="24.95" customHeight="1" x14ac:dyDescent="0.25">
      <c r="A142" s="22"/>
      <c r="B142" s="23"/>
      <c r="C142" s="24"/>
      <c r="D142" s="24"/>
      <c r="E142" s="24"/>
      <c r="F142" s="24"/>
      <c r="G142" s="25"/>
      <c r="H142" s="26" t="s">
        <v>132</v>
      </c>
      <c r="I142" s="45">
        <v>100000</v>
      </c>
      <c r="J142" s="45">
        <v>-10000</v>
      </c>
      <c r="K142" s="45">
        <v>-15000</v>
      </c>
      <c r="L142" s="45">
        <f t="shared" ref="L142:L146" si="70">SUM(I142:K142)</f>
        <v>75000</v>
      </c>
      <c r="M142" s="69">
        <f t="shared" ref="M142:M155" si="71">L142*1.25</f>
        <v>93750</v>
      </c>
      <c r="N142" s="27">
        <f>L142</f>
        <v>75000</v>
      </c>
      <c r="O142" s="28"/>
    </row>
    <row r="143" spans="1:15" ht="24.95" customHeight="1" x14ac:dyDescent="0.25">
      <c r="A143" s="22"/>
      <c r="B143" s="23"/>
      <c r="C143" s="24"/>
      <c r="D143" s="24"/>
      <c r="E143" s="24"/>
      <c r="F143" s="24"/>
      <c r="G143" s="25"/>
      <c r="H143" s="26" t="s">
        <v>133</v>
      </c>
      <c r="I143" s="27">
        <v>90000</v>
      </c>
      <c r="J143" s="27">
        <v>-15000</v>
      </c>
      <c r="K143" s="27">
        <v>-5000</v>
      </c>
      <c r="L143" s="45">
        <f t="shared" si="70"/>
        <v>70000</v>
      </c>
      <c r="M143" s="69">
        <f t="shared" si="71"/>
        <v>87500</v>
      </c>
      <c r="N143" s="27">
        <f t="shared" ref="N143:N146" si="72">L143</f>
        <v>70000</v>
      </c>
      <c r="O143" s="28"/>
    </row>
    <row r="144" spans="1:15" ht="24.95" customHeight="1" x14ac:dyDescent="0.25">
      <c r="A144" s="81"/>
      <c r="B144" s="82"/>
      <c r="C144" s="83"/>
      <c r="D144" s="83"/>
      <c r="E144" s="83"/>
      <c r="F144" s="83"/>
      <c r="G144" s="84"/>
      <c r="H144" s="61" t="s">
        <v>134</v>
      </c>
      <c r="I144" s="55">
        <v>165000</v>
      </c>
      <c r="J144" s="55">
        <v>20000</v>
      </c>
      <c r="K144" s="55">
        <v>-23000</v>
      </c>
      <c r="L144" s="45">
        <f t="shared" si="70"/>
        <v>162000</v>
      </c>
      <c r="M144" s="69">
        <f t="shared" si="71"/>
        <v>202500</v>
      </c>
      <c r="N144" s="27">
        <f t="shared" si="72"/>
        <v>162000</v>
      </c>
      <c r="O144" s="62"/>
    </row>
    <row r="145" spans="1:15" ht="24.95" customHeight="1" x14ac:dyDescent="0.25">
      <c r="A145" s="81"/>
      <c r="B145" s="82"/>
      <c r="C145" s="83"/>
      <c r="D145" s="83"/>
      <c r="E145" s="83"/>
      <c r="F145" s="83"/>
      <c r="G145" s="84"/>
      <c r="H145" s="61" t="s">
        <v>238</v>
      </c>
      <c r="I145" s="55">
        <v>35000</v>
      </c>
      <c r="J145" s="55">
        <v>5000</v>
      </c>
      <c r="K145" s="55">
        <v>0</v>
      </c>
      <c r="L145" s="45">
        <f t="shared" si="70"/>
        <v>40000</v>
      </c>
      <c r="M145" s="69">
        <f t="shared" si="71"/>
        <v>50000</v>
      </c>
      <c r="N145" s="27">
        <f t="shared" si="72"/>
        <v>40000</v>
      </c>
      <c r="O145" s="62"/>
    </row>
    <row r="146" spans="1:15" ht="84" x14ac:dyDescent="0.25">
      <c r="A146" s="39"/>
      <c r="B146" s="40"/>
      <c r="C146" s="41"/>
      <c r="D146" s="41"/>
      <c r="E146" s="41"/>
      <c r="F146" s="41"/>
      <c r="G146" s="43"/>
      <c r="H146" s="44" t="s">
        <v>135</v>
      </c>
      <c r="I146" s="45">
        <v>100000</v>
      </c>
      <c r="J146" s="45">
        <v>0</v>
      </c>
      <c r="K146" s="45">
        <v>50000</v>
      </c>
      <c r="L146" s="45">
        <f t="shared" si="70"/>
        <v>150000</v>
      </c>
      <c r="M146" s="69">
        <f t="shared" si="71"/>
        <v>187500</v>
      </c>
      <c r="N146" s="27">
        <f t="shared" si="72"/>
        <v>150000</v>
      </c>
      <c r="O146" s="46"/>
    </row>
    <row r="147" spans="1:15" ht="24.95" customHeight="1" x14ac:dyDescent="0.25">
      <c r="A147" s="31"/>
      <c r="B147" s="32"/>
      <c r="C147" s="33"/>
      <c r="D147" s="33"/>
      <c r="E147" s="33"/>
      <c r="F147" s="33"/>
      <c r="G147" s="34">
        <v>3224236</v>
      </c>
      <c r="H147" s="35" t="s">
        <v>136</v>
      </c>
      <c r="I147" s="36">
        <v>50000</v>
      </c>
      <c r="J147" s="36">
        <v>0</v>
      </c>
      <c r="K147" s="36">
        <v>0</v>
      </c>
      <c r="L147" s="36">
        <f>SUM(I147:K147)</f>
        <v>50000</v>
      </c>
      <c r="M147" s="36">
        <f t="shared" si="71"/>
        <v>62500</v>
      </c>
      <c r="N147" s="36">
        <f>L147</f>
        <v>50000</v>
      </c>
      <c r="O147" s="38"/>
    </row>
    <row r="148" spans="1:15" ht="24" x14ac:dyDescent="0.25">
      <c r="A148" s="70"/>
      <c r="B148" s="71"/>
      <c r="C148" s="72"/>
      <c r="D148" s="72"/>
      <c r="E148" s="72"/>
      <c r="F148" s="72"/>
      <c r="G148" s="73">
        <v>32244</v>
      </c>
      <c r="H148" s="74" t="s">
        <v>137</v>
      </c>
      <c r="I148" s="75">
        <f>I149</f>
        <v>130000</v>
      </c>
      <c r="J148" s="75">
        <f t="shared" ref="J148:N148" si="73">J149</f>
        <v>0</v>
      </c>
      <c r="K148" s="75">
        <f t="shared" si="73"/>
        <v>0</v>
      </c>
      <c r="L148" s="75">
        <f t="shared" si="73"/>
        <v>130000</v>
      </c>
      <c r="M148" s="75">
        <f t="shared" si="73"/>
        <v>162500</v>
      </c>
      <c r="N148" s="75">
        <f t="shared" si="73"/>
        <v>152425</v>
      </c>
      <c r="O148" s="76"/>
    </row>
    <row r="149" spans="1:15" ht="29.25" customHeight="1" x14ac:dyDescent="0.25">
      <c r="A149" s="57" t="s">
        <v>375</v>
      </c>
      <c r="B149" s="58" t="s">
        <v>259</v>
      </c>
      <c r="C149" s="59" t="s">
        <v>12</v>
      </c>
      <c r="D149" s="59"/>
      <c r="E149" s="85"/>
      <c r="F149" s="59"/>
      <c r="G149" s="60">
        <v>322441</v>
      </c>
      <c r="H149" s="61" t="s">
        <v>138</v>
      </c>
      <c r="I149" s="55">
        <v>130000</v>
      </c>
      <c r="J149" s="55">
        <v>0</v>
      </c>
      <c r="K149" s="55">
        <v>0</v>
      </c>
      <c r="L149" s="55">
        <f>SUM(I149:K149)</f>
        <v>130000</v>
      </c>
      <c r="M149" s="55">
        <f t="shared" si="71"/>
        <v>162500</v>
      </c>
      <c r="N149" s="55">
        <f>L149*1.1725</f>
        <v>152425</v>
      </c>
      <c r="O149" s="62" t="s">
        <v>13</v>
      </c>
    </row>
    <row r="150" spans="1:15" ht="24.95" customHeight="1" x14ac:dyDescent="0.25">
      <c r="A150" s="70"/>
      <c r="B150" s="71"/>
      <c r="C150" s="72"/>
      <c r="D150" s="72"/>
      <c r="E150" s="72"/>
      <c r="F150" s="72"/>
      <c r="G150" s="73">
        <v>3225</v>
      </c>
      <c r="H150" s="74" t="s">
        <v>139</v>
      </c>
      <c r="I150" s="75">
        <f>SUM(I151:I152)</f>
        <v>230000</v>
      </c>
      <c r="J150" s="75">
        <f t="shared" ref="J150:M150" si="74">SUM(J151:J152)</f>
        <v>0</v>
      </c>
      <c r="K150" s="75">
        <f t="shared" si="74"/>
        <v>-20000</v>
      </c>
      <c r="L150" s="75">
        <f t="shared" si="74"/>
        <v>210000</v>
      </c>
      <c r="M150" s="75">
        <f t="shared" si="74"/>
        <v>262500</v>
      </c>
      <c r="N150" s="75">
        <f>SUM(N151:N152)</f>
        <v>246225.00000000003</v>
      </c>
      <c r="O150" s="76"/>
    </row>
    <row r="151" spans="1:15" ht="24.95" customHeight="1" x14ac:dyDescent="0.25">
      <c r="A151" s="39"/>
      <c r="B151" s="40" t="s">
        <v>261</v>
      </c>
      <c r="C151" s="41" t="s">
        <v>12</v>
      </c>
      <c r="D151" s="41"/>
      <c r="E151" s="41"/>
      <c r="F151" s="41"/>
      <c r="G151" s="43">
        <v>32251</v>
      </c>
      <c r="H151" s="44" t="s">
        <v>140</v>
      </c>
      <c r="I151" s="45">
        <v>190000</v>
      </c>
      <c r="J151" s="45">
        <v>0</v>
      </c>
      <c r="K151" s="45">
        <v>0</v>
      </c>
      <c r="L151" s="45">
        <f t="shared" ref="L151:L152" si="75">SUM(I151:K151)</f>
        <v>190000</v>
      </c>
      <c r="M151" s="45">
        <f t="shared" si="71"/>
        <v>237500</v>
      </c>
      <c r="N151" s="45">
        <f>I151*1.1725</f>
        <v>222775.00000000003</v>
      </c>
      <c r="O151" s="46" t="s">
        <v>13</v>
      </c>
    </row>
    <row r="152" spans="1:15" ht="24.95" customHeight="1" x14ac:dyDescent="0.25">
      <c r="A152" s="39"/>
      <c r="B152" s="40" t="s">
        <v>260</v>
      </c>
      <c r="C152" s="41" t="s">
        <v>12</v>
      </c>
      <c r="D152" s="41"/>
      <c r="E152" s="41"/>
      <c r="F152" s="41"/>
      <c r="G152" s="43">
        <v>32252</v>
      </c>
      <c r="H152" s="44" t="s">
        <v>141</v>
      </c>
      <c r="I152" s="45">
        <v>40000</v>
      </c>
      <c r="J152" s="45">
        <v>0</v>
      </c>
      <c r="K152" s="45">
        <v>-20000</v>
      </c>
      <c r="L152" s="45">
        <f t="shared" si="75"/>
        <v>20000</v>
      </c>
      <c r="M152" s="45">
        <f t="shared" si="71"/>
        <v>25000</v>
      </c>
      <c r="N152" s="45">
        <f>L152*1.1725</f>
        <v>23450.000000000004</v>
      </c>
      <c r="O152" s="46"/>
    </row>
    <row r="153" spans="1:15" ht="24.95" customHeight="1" x14ac:dyDescent="0.25">
      <c r="A153" s="70"/>
      <c r="B153" s="71"/>
      <c r="C153" s="72"/>
      <c r="D153" s="72"/>
      <c r="E153" s="72"/>
      <c r="F153" s="72"/>
      <c r="G153" s="73">
        <v>32272</v>
      </c>
      <c r="H153" s="74" t="s">
        <v>142</v>
      </c>
      <c r="I153" s="75">
        <f>SUM(I154:I155)</f>
        <v>150000</v>
      </c>
      <c r="J153" s="75">
        <f t="shared" ref="J153:N153" si="76">SUM(J154:J155)</f>
        <v>0</v>
      </c>
      <c r="K153" s="75">
        <f t="shared" si="76"/>
        <v>-50000</v>
      </c>
      <c r="L153" s="75">
        <f t="shared" si="76"/>
        <v>100000</v>
      </c>
      <c r="M153" s="75">
        <f t="shared" si="76"/>
        <v>125000</v>
      </c>
      <c r="N153" s="75">
        <f t="shared" si="76"/>
        <v>117250.00000000001</v>
      </c>
      <c r="O153" s="76"/>
    </row>
    <row r="154" spans="1:15" ht="24.95" customHeight="1" x14ac:dyDescent="0.25">
      <c r="A154" s="39" t="s">
        <v>389</v>
      </c>
      <c r="B154" s="40" t="s">
        <v>388</v>
      </c>
      <c r="C154" s="41" t="s">
        <v>12</v>
      </c>
      <c r="D154" s="41"/>
      <c r="E154" s="42"/>
      <c r="F154" s="41"/>
      <c r="G154" s="43">
        <v>32272</v>
      </c>
      <c r="H154" s="44" t="s">
        <v>387</v>
      </c>
      <c r="I154" s="45">
        <v>75000</v>
      </c>
      <c r="J154" s="45">
        <v>0</v>
      </c>
      <c r="K154" s="45">
        <v>-25000</v>
      </c>
      <c r="L154" s="45">
        <f t="shared" ref="L154:L155" si="77">SUM(I154:K154)</f>
        <v>50000</v>
      </c>
      <c r="M154" s="45">
        <f t="shared" si="71"/>
        <v>62500</v>
      </c>
      <c r="N154" s="45">
        <f>L154*1.1725</f>
        <v>58625.000000000007</v>
      </c>
      <c r="O154" s="46" t="s">
        <v>13</v>
      </c>
    </row>
    <row r="155" spans="1:15" ht="24.95" customHeight="1" x14ac:dyDescent="0.25">
      <c r="A155" s="39" t="s">
        <v>390</v>
      </c>
      <c r="B155" s="40" t="s">
        <v>262</v>
      </c>
      <c r="C155" s="41" t="s">
        <v>12</v>
      </c>
      <c r="D155" s="41"/>
      <c r="E155" s="42"/>
      <c r="F155" s="41"/>
      <c r="G155" s="43">
        <v>32272</v>
      </c>
      <c r="H155" s="44" t="s">
        <v>143</v>
      </c>
      <c r="I155" s="45">
        <v>75000</v>
      </c>
      <c r="J155" s="45">
        <v>0</v>
      </c>
      <c r="K155" s="45">
        <v>-25000</v>
      </c>
      <c r="L155" s="45">
        <f t="shared" si="77"/>
        <v>50000</v>
      </c>
      <c r="M155" s="45">
        <f t="shared" si="71"/>
        <v>62500</v>
      </c>
      <c r="N155" s="45">
        <f>L155*1.1725</f>
        <v>58625.000000000007</v>
      </c>
      <c r="O155" s="46" t="s">
        <v>13</v>
      </c>
    </row>
    <row r="156" spans="1:15" ht="24.95" customHeight="1" x14ac:dyDescent="0.25">
      <c r="A156" s="70"/>
      <c r="B156" s="71"/>
      <c r="C156" s="72"/>
      <c r="D156" s="72"/>
      <c r="E156" s="72"/>
      <c r="F156" s="72"/>
      <c r="G156" s="73">
        <v>3231</v>
      </c>
      <c r="H156" s="74" t="s">
        <v>144</v>
      </c>
      <c r="I156" s="75">
        <f>I157+I160</f>
        <v>1043000</v>
      </c>
      <c r="J156" s="75">
        <f t="shared" ref="J156:N156" si="78">J157+J160</f>
        <v>0</v>
      </c>
      <c r="K156" s="75">
        <f t="shared" si="78"/>
        <v>0</v>
      </c>
      <c r="L156" s="75">
        <f t="shared" si="78"/>
        <v>1043000</v>
      </c>
      <c r="M156" s="75">
        <f t="shared" si="78"/>
        <v>1303750</v>
      </c>
      <c r="N156" s="75">
        <f t="shared" si="78"/>
        <v>1222917.5</v>
      </c>
      <c r="O156" s="76"/>
    </row>
    <row r="157" spans="1:15" ht="24.95" customHeight="1" x14ac:dyDescent="0.25">
      <c r="A157" s="31"/>
      <c r="B157" s="32"/>
      <c r="C157" s="33"/>
      <c r="D157" s="33"/>
      <c r="E157" s="33"/>
      <c r="F157" s="33"/>
      <c r="G157" s="34">
        <v>32311</v>
      </c>
      <c r="H157" s="35" t="s">
        <v>145</v>
      </c>
      <c r="I157" s="36">
        <f>SUM(I158:I159)</f>
        <v>650000</v>
      </c>
      <c r="J157" s="36">
        <v>0</v>
      </c>
      <c r="K157" s="36">
        <v>0</v>
      </c>
      <c r="L157" s="36">
        <f>SUM(L158:L159)</f>
        <v>650000</v>
      </c>
      <c r="M157" s="36">
        <f t="shared" ref="M157" si="79">SUM(M158:M159)</f>
        <v>812500</v>
      </c>
      <c r="N157" s="36">
        <f>SUM(N158:N159)</f>
        <v>762125</v>
      </c>
      <c r="O157" s="38"/>
    </row>
    <row r="158" spans="1:15" ht="24.95" customHeight="1" x14ac:dyDescent="0.25">
      <c r="A158" s="39"/>
      <c r="B158" s="40"/>
      <c r="C158" s="41"/>
      <c r="D158" s="41"/>
      <c r="E158" s="41"/>
      <c r="F158" s="41"/>
      <c r="G158" s="43">
        <v>32311</v>
      </c>
      <c r="H158" s="44" t="s">
        <v>146</v>
      </c>
      <c r="I158" s="45">
        <v>150000</v>
      </c>
      <c r="J158" s="45">
        <v>0</v>
      </c>
      <c r="K158" s="45">
        <v>0</v>
      </c>
      <c r="L158" s="45">
        <f t="shared" ref="L158:L159" si="80">SUM(I158:K158)</f>
        <v>150000</v>
      </c>
      <c r="M158" s="45">
        <f t="shared" ref="M158:M160" si="81">L158*1.25</f>
        <v>187500</v>
      </c>
      <c r="N158" s="45">
        <f>L158*1.1725</f>
        <v>175875.00000000003</v>
      </c>
      <c r="O158" s="46" t="s">
        <v>126</v>
      </c>
    </row>
    <row r="159" spans="1:15" ht="36" x14ac:dyDescent="0.25">
      <c r="A159" s="39"/>
      <c r="B159" s="58"/>
      <c r="C159" s="59"/>
      <c r="D159" s="59"/>
      <c r="E159" s="59"/>
      <c r="F159" s="59"/>
      <c r="G159" s="60">
        <v>32311</v>
      </c>
      <c r="H159" s="61" t="s">
        <v>147</v>
      </c>
      <c r="I159" s="55">
        <v>500000</v>
      </c>
      <c r="J159" s="55">
        <v>0</v>
      </c>
      <c r="K159" s="55">
        <v>0</v>
      </c>
      <c r="L159" s="55">
        <f t="shared" si="80"/>
        <v>500000</v>
      </c>
      <c r="M159" s="55">
        <f t="shared" si="81"/>
        <v>625000</v>
      </c>
      <c r="N159" s="45">
        <f>L159*1.1725</f>
        <v>586250</v>
      </c>
      <c r="O159" s="62" t="s">
        <v>126</v>
      </c>
    </row>
    <row r="160" spans="1:15" ht="24.95" customHeight="1" x14ac:dyDescent="0.25">
      <c r="A160" s="31"/>
      <c r="B160" s="32"/>
      <c r="C160" s="33"/>
      <c r="D160" s="33"/>
      <c r="E160" s="33"/>
      <c r="F160" s="33"/>
      <c r="G160" s="34">
        <v>32313</v>
      </c>
      <c r="H160" s="35" t="s">
        <v>148</v>
      </c>
      <c r="I160" s="36">
        <v>393000</v>
      </c>
      <c r="J160" s="36">
        <v>0</v>
      </c>
      <c r="K160" s="36">
        <v>0</v>
      </c>
      <c r="L160" s="36">
        <f>SUM(I160:K160)</f>
        <v>393000</v>
      </c>
      <c r="M160" s="36">
        <f t="shared" si="81"/>
        <v>491250</v>
      </c>
      <c r="N160" s="36">
        <f>L160*1.1725</f>
        <v>460792.50000000006</v>
      </c>
      <c r="O160" s="86" t="s">
        <v>126</v>
      </c>
    </row>
    <row r="161" spans="1:15" ht="24.95" customHeight="1" x14ac:dyDescent="0.25">
      <c r="A161" s="47"/>
      <c r="B161" s="48"/>
      <c r="C161" s="49"/>
      <c r="D161" s="49"/>
      <c r="E161" s="49"/>
      <c r="F161" s="49"/>
      <c r="G161" s="50">
        <v>3232</v>
      </c>
      <c r="H161" s="51" t="s">
        <v>149</v>
      </c>
      <c r="I161" s="52">
        <f>I162+I165+I205</f>
        <v>3230000</v>
      </c>
      <c r="J161" s="52">
        <f t="shared" ref="J161:N161" si="82">J162+J165+J205</f>
        <v>85000</v>
      </c>
      <c r="K161" s="52">
        <f t="shared" si="82"/>
        <v>354000</v>
      </c>
      <c r="L161" s="52">
        <f t="shared" si="82"/>
        <v>3669000</v>
      </c>
      <c r="M161" s="52">
        <f t="shared" si="82"/>
        <v>4586250</v>
      </c>
      <c r="N161" s="52">
        <f t="shared" si="82"/>
        <v>2417687.5</v>
      </c>
      <c r="O161" s="87"/>
    </row>
    <row r="162" spans="1:15" ht="24.95" customHeight="1" x14ac:dyDescent="0.25">
      <c r="A162" s="70"/>
      <c r="B162" s="71" t="s">
        <v>263</v>
      </c>
      <c r="C162" s="72" t="s">
        <v>12</v>
      </c>
      <c r="D162" s="72"/>
      <c r="E162" s="72"/>
      <c r="F162" s="72"/>
      <c r="G162" s="73">
        <v>32321</v>
      </c>
      <c r="H162" s="74" t="s">
        <v>150</v>
      </c>
      <c r="I162" s="75">
        <f>SUM(I163:I164)</f>
        <v>100000</v>
      </c>
      <c r="J162" s="75">
        <f t="shared" ref="J162:N162" si="83">SUM(J163:J164)</f>
        <v>0</v>
      </c>
      <c r="K162" s="75">
        <f t="shared" si="83"/>
        <v>0</v>
      </c>
      <c r="L162" s="75">
        <f t="shared" si="83"/>
        <v>100000</v>
      </c>
      <c r="M162" s="75">
        <f t="shared" si="83"/>
        <v>125000</v>
      </c>
      <c r="N162" s="75">
        <f t="shared" si="83"/>
        <v>117250.00000000001</v>
      </c>
      <c r="O162" s="76"/>
    </row>
    <row r="163" spans="1:15" ht="24.95" customHeight="1" x14ac:dyDescent="0.25">
      <c r="A163" s="39"/>
      <c r="B163" s="40"/>
      <c r="C163" s="41"/>
      <c r="D163" s="41"/>
      <c r="E163" s="41"/>
      <c r="F163" s="41"/>
      <c r="G163" s="43"/>
      <c r="H163" s="44" t="s">
        <v>151</v>
      </c>
      <c r="I163" s="45">
        <v>50000</v>
      </c>
      <c r="J163" s="45">
        <v>0</v>
      </c>
      <c r="K163" s="45">
        <v>0</v>
      </c>
      <c r="L163" s="45">
        <f t="shared" ref="L163:L164" si="84">SUM(I163:K163)</f>
        <v>50000</v>
      </c>
      <c r="M163" s="45">
        <f t="shared" ref="M163:M164" si="85">L163*1.25</f>
        <v>62500</v>
      </c>
      <c r="N163" s="45">
        <f>L163*1.1725</f>
        <v>58625.000000000007</v>
      </c>
      <c r="O163" s="46"/>
    </row>
    <row r="164" spans="1:15" ht="24.95" customHeight="1" x14ac:dyDescent="0.25">
      <c r="A164" s="39"/>
      <c r="B164" s="40"/>
      <c r="C164" s="41"/>
      <c r="D164" s="41"/>
      <c r="E164" s="41"/>
      <c r="F164" s="41"/>
      <c r="G164" s="43"/>
      <c r="H164" s="44" t="s">
        <v>152</v>
      </c>
      <c r="I164" s="45">
        <v>50000</v>
      </c>
      <c r="J164" s="45">
        <v>0</v>
      </c>
      <c r="K164" s="45">
        <v>0</v>
      </c>
      <c r="L164" s="45">
        <f t="shared" si="84"/>
        <v>50000</v>
      </c>
      <c r="M164" s="45">
        <f t="shared" si="85"/>
        <v>62500</v>
      </c>
      <c r="N164" s="45">
        <f>L164*1.1725</f>
        <v>58625.000000000007</v>
      </c>
      <c r="O164" s="46"/>
    </row>
    <row r="165" spans="1:15" ht="24.95" customHeight="1" x14ac:dyDescent="0.25">
      <c r="A165" s="70"/>
      <c r="B165" s="71"/>
      <c r="C165" s="72"/>
      <c r="D165" s="72"/>
      <c r="E165" s="72"/>
      <c r="F165" s="72"/>
      <c r="G165" s="73">
        <v>32322</v>
      </c>
      <c r="H165" s="74" t="s">
        <v>153</v>
      </c>
      <c r="I165" s="75">
        <f>SUM(I166:I176)</f>
        <v>2610000</v>
      </c>
      <c r="J165" s="75">
        <f t="shared" ref="J165:N165" si="86">SUM(J166:J176)</f>
        <v>85000</v>
      </c>
      <c r="K165" s="75">
        <f t="shared" si="86"/>
        <v>354000</v>
      </c>
      <c r="L165" s="75">
        <f t="shared" si="86"/>
        <v>3049000</v>
      </c>
      <c r="M165" s="75">
        <f t="shared" si="86"/>
        <v>3811250</v>
      </c>
      <c r="N165" s="75">
        <f t="shared" si="86"/>
        <v>1983862.5</v>
      </c>
      <c r="O165" s="76"/>
    </row>
    <row r="166" spans="1:15" ht="24.95" customHeight="1" x14ac:dyDescent="0.25">
      <c r="A166" s="88"/>
      <c r="B166" s="40"/>
      <c r="C166" s="41"/>
      <c r="D166" s="41"/>
      <c r="E166" s="41"/>
      <c r="F166" s="41"/>
      <c r="G166" s="41"/>
      <c r="H166" s="44" t="s">
        <v>154</v>
      </c>
      <c r="I166" s="45">
        <v>15000</v>
      </c>
      <c r="J166" s="45">
        <v>0</v>
      </c>
      <c r="K166" s="45">
        <v>0</v>
      </c>
      <c r="L166" s="45">
        <f t="shared" ref="L166:L175" si="87">SUM(I166:K166)</f>
        <v>15000</v>
      </c>
      <c r="M166" s="45">
        <f t="shared" ref="M166:M204" si="88">L166*1.25</f>
        <v>18750</v>
      </c>
      <c r="N166" s="89">
        <f>L166*1.1725</f>
        <v>17587.5</v>
      </c>
      <c r="O166" s="46"/>
    </row>
    <row r="167" spans="1:15" ht="24.95" customHeight="1" x14ac:dyDescent="0.25">
      <c r="A167" s="88" t="s">
        <v>333</v>
      </c>
      <c r="B167" s="40" t="s">
        <v>332</v>
      </c>
      <c r="C167" s="41" t="s">
        <v>12</v>
      </c>
      <c r="D167" s="41"/>
      <c r="E167" s="41"/>
      <c r="F167" s="41"/>
      <c r="G167" s="41"/>
      <c r="H167" s="44" t="s">
        <v>330</v>
      </c>
      <c r="I167" s="45">
        <v>0</v>
      </c>
      <c r="J167" s="45">
        <v>0</v>
      </c>
      <c r="K167" s="45">
        <v>26000</v>
      </c>
      <c r="L167" s="45">
        <f t="shared" si="87"/>
        <v>26000</v>
      </c>
      <c r="M167" s="45">
        <f t="shared" si="88"/>
        <v>32500</v>
      </c>
      <c r="N167" s="89">
        <f t="shared" ref="N167:N169" si="89">L167*1.1725</f>
        <v>30485.000000000004</v>
      </c>
      <c r="O167" s="46" t="s">
        <v>13</v>
      </c>
    </row>
    <row r="168" spans="1:15" ht="24.95" customHeight="1" x14ac:dyDescent="0.25">
      <c r="A168" s="88"/>
      <c r="B168" s="40"/>
      <c r="C168" s="41"/>
      <c r="D168" s="41"/>
      <c r="E168" s="41"/>
      <c r="F168" s="41"/>
      <c r="G168" s="41"/>
      <c r="H168" s="44" t="s">
        <v>155</v>
      </c>
      <c r="I168" s="45">
        <v>30000</v>
      </c>
      <c r="J168" s="45">
        <v>0</v>
      </c>
      <c r="K168" s="45">
        <v>0</v>
      </c>
      <c r="L168" s="45">
        <f t="shared" si="87"/>
        <v>30000</v>
      </c>
      <c r="M168" s="45">
        <f t="shared" si="88"/>
        <v>37500</v>
      </c>
      <c r="N168" s="89">
        <f t="shared" si="89"/>
        <v>35175</v>
      </c>
      <c r="O168" s="46"/>
    </row>
    <row r="169" spans="1:15" ht="24.95" customHeight="1" x14ac:dyDescent="0.25">
      <c r="A169" s="88"/>
      <c r="B169" s="40"/>
      <c r="C169" s="41"/>
      <c r="D169" s="41"/>
      <c r="E169" s="41"/>
      <c r="F169" s="41"/>
      <c r="G169" s="41"/>
      <c r="H169" s="44" t="s">
        <v>156</v>
      </c>
      <c r="I169" s="45">
        <v>25000</v>
      </c>
      <c r="J169" s="45">
        <v>0</v>
      </c>
      <c r="K169" s="45">
        <v>0</v>
      </c>
      <c r="L169" s="45">
        <f t="shared" si="87"/>
        <v>25000</v>
      </c>
      <c r="M169" s="45">
        <f t="shared" si="88"/>
        <v>31250</v>
      </c>
      <c r="N169" s="89">
        <f t="shared" si="89"/>
        <v>29312.500000000004</v>
      </c>
      <c r="O169" s="46"/>
    </row>
    <row r="170" spans="1:15" ht="24.95" customHeight="1" x14ac:dyDescent="0.25">
      <c r="A170" s="88" t="s">
        <v>317</v>
      </c>
      <c r="B170" s="40" t="s">
        <v>318</v>
      </c>
      <c r="C170" s="41" t="s">
        <v>12</v>
      </c>
      <c r="D170" s="41"/>
      <c r="E170" s="41"/>
      <c r="F170" s="41"/>
      <c r="G170" s="41"/>
      <c r="H170" s="44" t="s">
        <v>316</v>
      </c>
      <c r="I170" s="45">
        <v>0</v>
      </c>
      <c r="J170" s="45">
        <v>30000</v>
      </c>
      <c r="K170" s="45">
        <v>0</v>
      </c>
      <c r="L170" s="45">
        <f t="shared" si="87"/>
        <v>30000</v>
      </c>
      <c r="M170" s="45">
        <f t="shared" si="88"/>
        <v>37500</v>
      </c>
      <c r="N170" s="89">
        <f>L170</f>
        <v>30000</v>
      </c>
      <c r="O170" s="46" t="s">
        <v>13</v>
      </c>
    </row>
    <row r="171" spans="1:15" ht="24.95" customHeight="1" x14ac:dyDescent="0.25">
      <c r="A171" s="88" t="s">
        <v>320</v>
      </c>
      <c r="B171" s="40" t="s">
        <v>318</v>
      </c>
      <c r="C171" s="41" t="s">
        <v>12</v>
      </c>
      <c r="D171" s="41"/>
      <c r="E171" s="41"/>
      <c r="F171" s="41"/>
      <c r="G171" s="41"/>
      <c r="H171" s="44" t="s">
        <v>319</v>
      </c>
      <c r="I171" s="45">
        <v>0</v>
      </c>
      <c r="J171" s="45">
        <v>55000</v>
      </c>
      <c r="K171" s="45">
        <v>0</v>
      </c>
      <c r="L171" s="45">
        <f t="shared" si="87"/>
        <v>55000</v>
      </c>
      <c r="M171" s="45">
        <f t="shared" si="88"/>
        <v>68750</v>
      </c>
      <c r="N171" s="89">
        <f>L171</f>
        <v>55000</v>
      </c>
      <c r="O171" s="46" t="s">
        <v>13</v>
      </c>
    </row>
    <row r="172" spans="1:15" ht="32.25" customHeight="1" x14ac:dyDescent="0.25">
      <c r="A172" s="88"/>
      <c r="B172" s="40" t="s">
        <v>264</v>
      </c>
      <c r="C172" s="41" t="s">
        <v>12</v>
      </c>
      <c r="D172" s="41"/>
      <c r="E172" s="41"/>
      <c r="F172" s="41"/>
      <c r="G172" s="41"/>
      <c r="H172" s="44" t="s">
        <v>157</v>
      </c>
      <c r="I172" s="45">
        <v>145000</v>
      </c>
      <c r="J172" s="45">
        <v>0</v>
      </c>
      <c r="K172" s="45">
        <v>0</v>
      </c>
      <c r="L172" s="45">
        <f t="shared" si="87"/>
        <v>145000</v>
      </c>
      <c r="M172" s="45">
        <f t="shared" si="88"/>
        <v>181250</v>
      </c>
      <c r="N172" s="89">
        <f>L172*1.1725</f>
        <v>170012.5</v>
      </c>
      <c r="O172" s="46" t="s">
        <v>13</v>
      </c>
    </row>
    <row r="173" spans="1:15" ht="24.95" customHeight="1" x14ac:dyDescent="0.25">
      <c r="A173" s="88"/>
      <c r="B173" s="40" t="s">
        <v>265</v>
      </c>
      <c r="C173" s="41" t="s">
        <v>12</v>
      </c>
      <c r="D173" s="41"/>
      <c r="E173" s="41"/>
      <c r="F173" s="41"/>
      <c r="G173" s="41"/>
      <c r="H173" s="44" t="s">
        <v>158</v>
      </c>
      <c r="I173" s="45">
        <v>90000</v>
      </c>
      <c r="J173" s="45">
        <v>0</v>
      </c>
      <c r="K173" s="45">
        <v>0</v>
      </c>
      <c r="L173" s="45">
        <f t="shared" si="87"/>
        <v>90000</v>
      </c>
      <c r="M173" s="45">
        <f t="shared" si="88"/>
        <v>112500</v>
      </c>
      <c r="N173" s="89">
        <f>L173*1.1725</f>
        <v>105525.00000000001</v>
      </c>
      <c r="O173" s="46" t="s">
        <v>13</v>
      </c>
    </row>
    <row r="174" spans="1:15" ht="24.95" customHeight="1" x14ac:dyDescent="0.25">
      <c r="A174" s="88" t="s">
        <v>335</v>
      </c>
      <c r="B174" s="40" t="s">
        <v>334</v>
      </c>
      <c r="C174" s="41" t="s">
        <v>12</v>
      </c>
      <c r="D174" s="41"/>
      <c r="E174" s="41"/>
      <c r="F174" s="41"/>
      <c r="G174" s="41"/>
      <c r="H174" s="44" t="s">
        <v>331</v>
      </c>
      <c r="I174" s="45">
        <v>0</v>
      </c>
      <c r="J174" s="45">
        <v>0</v>
      </c>
      <c r="K174" s="45">
        <v>39000</v>
      </c>
      <c r="L174" s="45">
        <f t="shared" si="87"/>
        <v>39000</v>
      </c>
      <c r="M174" s="45">
        <f t="shared" si="88"/>
        <v>48750</v>
      </c>
      <c r="N174" s="89">
        <f>L174*1.1725</f>
        <v>45727.500000000007</v>
      </c>
      <c r="O174" s="46" t="s">
        <v>13</v>
      </c>
    </row>
    <row r="175" spans="1:15" ht="24.95" customHeight="1" x14ac:dyDescent="0.25">
      <c r="A175" s="88"/>
      <c r="B175" s="40" t="s">
        <v>266</v>
      </c>
      <c r="C175" s="41" t="s">
        <v>12</v>
      </c>
      <c r="D175" s="41"/>
      <c r="E175" s="41"/>
      <c r="F175" s="41"/>
      <c r="G175" s="41"/>
      <c r="H175" s="44" t="s">
        <v>159</v>
      </c>
      <c r="I175" s="45">
        <v>35000</v>
      </c>
      <c r="J175" s="45">
        <v>0</v>
      </c>
      <c r="K175" s="45">
        <v>0</v>
      </c>
      <c r="L175" s="45">
        <f t="shared" si="87"/>
        <v>35000</v>
      </c>
      <c r="M175" s="45">
        <f t="shared" si="88"/>
        <v>43750</v>
      </c>
      <c r="N175" s="89">
        <f>L175*1.1725</f>
        <v>41037.5</v>
      </c>
      <c r="O175" s="46" t="s">
        <v>13</v>
      </c>
    </row>
    <row r="176" spans="1:15" ht="36" x14ac:dyDescent="0.25">
      <c r="A176" s="90" t="s">
        <v>339</v>
      </c>
      <c r="B176" s="32" t="s">
        <v>267</v>
      </c>
      <c r="C176" s="33" t="s">
        <v>14</v>
      </c>
      <c r="D176" s="33" t="s">
        <v>223</v>
      </c>
      <c r="E176" s="63" t="s">
        <v>245</v>
      </c>
      <c r="F176" s="33" t="s">
        <v>20</v>
      </c>
      <c r="G176" s="34">
        <v>32322</v>
      </c>
      <c r="H176" s="35" t="s">
        <v>224</v>
      </c>
      <c r="I176" s="37">
        <f>SUM(I177:I204)</f>
        <v>2270000</v>
      </c>
      <c r="J176" s="37">
        <f t="shared" ref="J176:N176" si="90">SUM(J177:J204)</f>
        <v>0</v>
      </c>
      <c r="K176" s="37">
        <f t="shared" si="90"/>
        <v>289000</v>
      </c>
      <c r="L176" s="37">
        <f>SUM(L177:L204)</f>
        <v>2559000</v>
      </c>
      <c r="M176" s="37">
        <f t="shared" si="90"/>
        <v>3198750</v>
      </c>
      <c r="N176" s="37">
        <f t="shared" si="90"/>
        <v>1424000</v>
      </c>
      <c r="O176" s="38" t="s">
        <v>13</v>
      </c>
    </row>
    <row r="177" spans="1:15" ht="24.95" customHeight="1" x14ac:dyDescent="0.25">
      <c r="A177" s="88"/>
      <c r="B177" s="40"/>
      <c r="C177" s="41"/>
      <c r="D177" s="41"/>
      <c r="E177" s="41"/>
      <c r="F177" s="41"/>
      <c r="G177" s="41"/>
      <c r="H177" s="44" t="s">
        <v>160</v>
      </c>
      <c r="I177" s="45">
        <f>205000*2</f>
        <v>410000</v>
      </c>
      <c r="J177" s="45">
        <v>0</v>
      </c>
      <c r="K177" s="45">
        <v>0</v>
      </c>
      <c r="L177" s="45">
        <f t="shared" ref="L177:L204" si="91">SUM(I177:K177)</f>
        <v>410000</v>
      </c>
      <c r="M177" s="45">
        <f t="shared" si="88"/>
        <v>512500</v>
      </c>
      <c r="N177" s="89">
        <f>L177/2</f>
        <v>205000</v>
      </c>
      <c r="O177" s="46"/>
    </row>
    <row r="178" spans="1:15" ht="24.95" customHeight="1" x14ac:dyDescent="0.25">
      <c r="A178" s="88"/>
      <c r="B178" s="40"/>
      <c r="C178" s="41"/>
      <c r="D178" s="41"/>
      <c r="E178" s="41"/>
      <c r="F178" s="41"/>
      <c r="G178" s="41"/>
      <c r="H178" s="44" t="s">
        <v>161</v>
      </c>
      <c r="I178" s="45">
        <f>235000*2</f>
        <v>470000</v>
      </c>
      <c r="J178" s="45">
        <v>0</v>
      </c>
      <c r="K178" s="45">
        <v>-10000</v>
      </c>
      <c r="L178" s="45">
        <f t="shared" si="91"/>
        <v>460000</v>
      </c>
      <c r="M178" s="45">
        <f t="shared" si="88"/>
        <v>575000</v>
      </c>
      <c r="N178" s="89">
        <f t="shared" ref="N178:N199" si="92">L178/2</f>
        <v>230000</v>
      </c>
      <c r="O178" s="46"/>
    </row>
    <row r="179" spans="1:15" ht="24.95" customHeight="1" x14ac:dyDescent="0.25">
      <c r="A179" s="88"/>
      <c r="B179" s="40"/>
      <c r="C179" s="41"/>
      <c r="D179" s="41"/>
      <c r="E179" s="41"/>
      <c r="F179" s="41"/>
      <c r="G179" s="41"/>
      <c r="H179" s="44" t="s">
        <v>162</v>
      </c>
      <c r="I179" s="45">
        <f>125000*2</f>
        <v>250000</v>
      </c>
      <c r="J179" s="45">
        <v>0</v>
      </c>
      <c r="K179" s="45">
        <v>0</v>
      </c>
      <c r="L179" s="45">
        <f t="shared" si="91"/>
        <v>250000</v>
      </c>
      <c r="M179" s="45">
        <f t="shared" si="88"/>
        <v>312500</v>
      </c>
      <c r="N179" s="89">
        <f t="shared" si="92"/>
        <v>125000</v>
      </c>
      <c r="O179" s="46"/>
    </row>
    <row r="180" spans="1:15" ht="24.95" customHeight="1" x14ac:dyDescent="0.25">
      <c r="A180" s="88"/>
      <c r="B180" s="40"/>
      <c r="C180" s="41"/>
      <c r="D180" s="41"/>
      <c r="E180" s="41"/>
      <c r="F180" s="41"/>
      <c r="G180" s="41"/>
      <c r="H180" s="44" t="s">
        <v>163</v>
      </c>
      <c r="I180" s="45">
        <v>20000</v>
      </c>
      <c r="J180" s="45">
        <v>0</v>
      </c>
      <c r="K180" s="45">
        <v>0</v>
      </c>
      <c r="L180" s="45">
        <f t="shared" si="91"/>
        <v>20000</v>
      </c>
      <c r="M180" s="45">
        <f t="shared" si="88"/>
        <v>25000</v>
      </c>
      <c r="N180" s="89">
        <f t="shared" si="92"/>
        <v>10000</v>
      </c>
      <c r="O180" s="46"/>
    </row>
    <row r="181" spans="1:15" ht="24.95" customHeight="1" x14ac:dyDescent="0.25">
      <c r="A181" s="88"/>
      <c r="B181" s="40"/>
      <c r="C181" s="41"/>
      <c r="D181" s="41"/>
      <c r="E181" s="41"/>
      <c r="F181" s="41"/>
      <c r="G181" s="41"/>
      <c r="H181" s="44" t="s">
        <v>164</v>
      </c>
      <c r="I181" s="45">
        <v>70000</v>
      </c>
      <c r="J181" s="45">
        <v>0</v>
      </c>
      <c r="K181" s="45">
        <v>0</v>
      </c>
      <c r="L181" s="45">
        <f t="shared" si="91"/>
        <v>70000</v>
      </c>
      <c r="M181" s="45">
        <f t="shared" si="88"/>
        <v>87500</v>
      </c>
      <c r="N181" s="89">
        <f t="shared" si="92"/>
        <v>35000</v>
      </c>
      <c r="O181" s="46"/>
    </row>
    <row r="182" spans="1:15" ht="24.95" customHeight="1" x14ac:dyDescent="0.25">
      <c r="A182" s="88"/>
      <c r="B182" s="40"/>
      <c r="C182" s="41"/>
      <c r="D182" s="41"/>
      <c r="E182" s="41"/>
      <c r="F182" s="41"/>
      <c r="G182" s="41"/>
      <c r="H182" s="44" t="s">
        <v>165</v>
      </c>
      <c r="I182" s="45">
        <v>70000</v>
      </c>
      <c r="J182" s="45">
        <v>0</v>
      </c>
      <c r="K182" s="45">
        <v>0</v>
      </c>
      <c r="L182" s="45">
        <f t="shared" si="91"/>
        <v>70000</v>
      </c>
      <c r="M182" s="45">
        <f t="shared" si="88"/>
        <v>87500</v>
      </c>
      <c r="N182" s="89">
        <f t="shared" si="92"/>
        <v>35000</v>
      </c>
      <c r="O182" s="46"/>
    </row>
    <row r="183" spans="1:15" ht="36" x14ac:dyDescent="0.25">
      <c r="A183" s="88"/>
      <c r="B183" s="40"/>
      <c r="C183" s="41"/>
      <c r="D183" s="41"/>
      <c r="E183" s="41"/>
      <c r="F183" s="41"/>
      <c r="G183" s="41"/>
      <c r="H183" s="44" t="s">
        <v>166</v>
      </c>
      <c r="I183" s="45">
        <v>80000</v>
      </c>
      <c r="J183" s="45">
        <v>0</v>
      </c>
      <c r="K183" s="45">
        <v>0</v>
      </c>
      <c r="L183" s="45">
        <f t="shared" si="91"/>
        <v>80000</v>
      </c>
      <c r="M183" s="45">
        <f t="shared" si="88"/>
        <v>100000</v>
      </c>
      <c r="N183" s="89">
        <f t="shared" si="92"/>
        <v>40000</v>
      </c>
      <c r="O183" s="46"/>
    </row>
    <row r="184" spans="1:15" ht="24.95" customHeight="1" x14ac:dyDescent="0.25">
      <c r="A184" s="88"/>
      <c r="B184" s="40"/>
      <c r="C184" s="41"/>
      <c r="D184" s="41"/>
      <c r="E184" s="41"/>
      <c r="F184" s="41"/>
      <c r="G184" s="41"/>
      <c r="H184" s="44" t="s">
        <v>167</v>
      </c>
      <c r="I184" s="45">
        <v>64000</v>
      </c>
      <c r="J184" s="45">
        <v>0</v>
      </c>
      <c r="K184" s="45">
        <v>0</v>
      </c>
      <c r="L184" s="45">
        <f t="shared" si="91"/>
        <v>64000</v>
      </c>
      <c r="M184" s="45">
        <f t="shared" si="88"/>
        <v>80000</v>
      </c>
      <c r="N184" s="89">
        <f t="shared" si="92"/>
        <v>32000</v>
      </c>
      <c r="O184" s="46"/>
    </row>
    <row r="185" spans="1:15" ht="24.95" customHeight="1" x14ac:dyDescent="0.25">
      <c r="A185" s="88"/>
      <c r="B185" s="40"/>
      <c r="C185" s="41"/>
      <c r="D185" s="41"/>
      <c r="E185" s="41"/>
      <c r="F185" s="41"/>
      <c r="G185" s="41"/>
      <c r="H185" s="44" t="s">
        <v>168</v>
      </c>
      <c r="I185" s="45">
        <v>10000</v>
      </c>
      <c r="J185" s="45">
        <v>0</v>
      </c>
      <c r="K185" s="45">
        <v>0</v>
      </c>
      <c r="L185" s="45">
        <f t="shared" si="91"/>
        <v>10000</v>
      </c>
      <c r="M185" s="45">
        <f t="shared" si="88"/>
        <v>12500</v>
      </c>
      <c r="N185" s="89">
        <f t="shared" si="92"/>
        <v>5000</v>
      </c>
      <c r="O185" s="46"/>
    </row>
    <row r="186" spans="1:15" ht="24.95" customHeight="1" x14ac:dyDescent="0.25">
      <c r="A186" s="88"/>
      <c r="B186" s="40"/>
      <c r="C186" s="41"/>
      <c r="D186" s="41"/>
      <c r="E186" s="41"/>
      <c r="F186" s="41"/>
      <c r="G186" s="41"/>
      <c r="H186" s="44" t="s">
        <v>169</v>
      </c>
      <c r="I186" s="45">
        <v>40000</v>
      </c>
      <c r="J186" s="45">
        <v>0</v>
      </c>
      <c r="K186" s="45">
        <v>0</v>
      </c>
      <c r="L186" s="45">
        <f t="shared" si="91"/>
        <v>40000</v>
      </c>
      <c r="M186" s="45">
        <f t="shared" si="88"/>
        <v>50000</v>
      </c>
      <c r="N186" s="89">
        <f t="shared" si="92"/>
        <v>20000</v>
      </c>
      <c r="O186" s="46"/>
    </row>
    <row r="187" spans="1:15" ht="24.95" customHeight="1" x14ac:dyDescent="0.25">
      <c r="A187" s="88"/>
      <c r="B187" s="40"/>
      <c r="C187" s="41"/>
      <c r="D187" s="41"/>
      <c r="E187" s="41"/>
      <c r="F187" s="41"/>
      <c r="G187" s="41"/>
      <c r="H187" s="44" t="s">
        <v>170</v>
      </c>
      <c r="I187" s="45">
        <v>60000</v>
      </c>
      <c r="J187" s="45">
        <v>0</v>
      </c>
      <c r="K187" s="45">
        <v>0</v>
      </c>
      <c r="L187" s="45">
        <f t="shared" si="91"/>
        <v>60000</v>
      </c>
      <c r="M187" s="45">
        <f t="shared" si="88"/>
        <v>75000</v>
      </c>
      <c r="N187" s="89">
        <f t="shared" si="92"/>
        <v>30000</v>
      </c>
      <c r="O187" s="46"/>
    </row>
    <row r="188" spans="1:15" ht="36" x14ac:dyDescent="0.25">
      <c r="A188" s="88"/>
      <c r="B188" s="40"/>
      <c r="C188" s="41"/>
      <c r="D188" s="41"/>
      <c r="E188" s="41"/>
      <c r="F188" s="41"/>
      <c r="G188" s="41"/>
      <c r="H188" s="44" t="s">
        <v>171</v>
      </c>
      <c r="I188" s="45">
        <v>80000</v>
      </c>
      <c r="J188" s="45">
        <v>0</v>
      </c>
      <c r="K188" s="45">
        <v>0</v>
      </c>
      <c r="L188" s="45">
        <f t="shared" si="91"/>
        <v>80000</v>
      </c>
      <c r="M188" s="45">
        <f t="shared" si="88"/>
        <v>100000</v>
      </c>
      <c r="N188" s="89">
        <f t="shared" si="92"/>
        <v>40000</v>
      </c>
      <c r="O188" s="46"/>
    </row>
    <row r="189" spans="1:15" ht="24.95" customHeight="1" x14ac:dyDescent="0.25">
      <c r="A189" s="88"/>
      <c r="B189" s="40"/>
      <c r="C189" s="41"/>
      <c r="D189" s="41"/>
      <c r="E189" s="41"/>
      <c r="F189" s="41"/>
      <c r="G189" s="41"/>
      <c r="H189" s="44" t="s">
        <v>172</v>
      </c>
      <c r="I189" s="45">
        <v>10000</v>
      </c>
      <c r="J189" s="45">
        <v>0</v>
      </c>
      <c r="K189" s="45">
        <v>0</v>
      </c>
      <c r="L189" s="45">
        <f t="shared" si="91"/>
        <v>10000</v>
      </c>
      <c r="M189" s="45">
        <f t="shared" si="88"/>
        <v>12500</v>
      </c>
      <c r="N189" s="89">
        <f t="shared" si="92"/>
        <v>5000</v>
      </c>
      <c r="O189" s="46"/>
    </row>
    <row r="190" spans="1:15" ht="24.95" customHeight="1" x14ac:dyDescent="0.25">
      <c r="A190" s="88"/>
      <c r="B190" s="40"/>
      <c r="C190" s="41"/>
      <c r="D190" s="41"/>
      <c r="E190" s="41"/>
      <c r="F190" s="41"/>
      <c r="G190" s="41"/>
      <c r="H190" s="44" t="s">
        <v>173</v>
      </c>
      <c r="I190" s="45">
        <v>10000</v>
      </c>
      <c r="J190" s="45">
        <v>0</v>
      </c>
      <c r="K190" s="45">
        <v>0</v>
      </c>
      <c r="L190" s="45">
        <f t="shared" si="91"/>
        <v>10000</v>
      </c>
      <c r="M190" s="45">
        <f t="shared" si="88"/>
        <v>12500</v>
      </c>
      <c r="N190" s="89">
        <f t="shared" si="92"/>
        <v>5000</v>
      </c>
      <c r="O190" s="46"/>
    </row>
    <row r="191" spans="1:15" ht="24.95" customHeight="1" x14ac:dyDescent="0.25">
      <c r="A191" s="88"/>
      <c r="B191" s="40"/>
      <c r="C191" s="41"/>
      <c r="D191" s="41"/>
      <c r="E191" s="41"/>
      <c r="F191" s="41"/>
      <c r="G191" s="41"/>
      <c r="H191" s="44" t="s">
        <v>352</v>
      </c>
      <c r="I191" s="45">
        <v>16000</v>
      </c>
      <c r="J191" s="45">
        <v>0</v>
      </c>
      <c r="K191" s="45">
        <v>0</v>
      </c>
      <c r="L191" s="45">
        <f t="shared" si="91"/>
        <v>16000</v>
      </c>
      <c r="M191" s="45">
        <f t="shared" si="88"/>
        <v>20000</v>
      </c>
      <c r="N191" s="89">
        <f t="shared" si="92"/>
        <v>8000</v>
      </c>
      <c r="O191" s="46"/>
    </row>
    <row r="192" spans="1:15" ht="24.95" customHeight="1" x14ac:dyDescent="0.25">
      <c r="A192" s="88"/>
      <c r="B192" s="40"/>
      <c r="C192" s="41"/>
      <c r="D192" s="41"/>
      <c r="E192" s="41"/>
      <c r="F192" s="41"/>
      <c r="G192" s="41"/>
      <c r="H192" s="44" t="s">
        <v>174</v>
      </c>
      <c r="I192" s="55">
        <v>10000</v>
      </c>
      <c r="J192" s="55">
        <v>0</v>
      </c>
      <c r="K192" s="55">
        <v>0</v>
      </c>
      <c r="L192" s="55">
        <f t="shared" si="91"/>
        <v>10000</v>
      </c>
      <c r="M192" s="45">
        <f t="shared" si="88"/>
        <v>12500</v>
      </c>
      <c r="N192" s="89">
        <f t="shared" si="92"/>
        <v>5000</v>
      </c>
      <c r="O192" s="46"/>
    </row>
    <row r="193" spans="1:15" ht="24.95" customHeight="1" x14ac:dyDescent="0.25">
      <c r="A193" s="88"/>
      <c r="B193" s="40"/>
      <c r="C193" s="41"/>
      <c r="D193" s="41"/>
      <c r="E193" s="41"/>
      <c r="F193" s="41"/>
      <c r="G193" s="41"/>
      <c r="H193" s="44" t="s">
        <v>175</v>
      </c>
      <c r="I193" s="45">
        <v>10000</v>
      </c>
      <c r="J193" s="45">
        <v>0</v>
      </c>
      <c r="K193" s="45">
        <v>0</v>
      </c>
      <c r="L193" s="45">
        <f t="shared" si="91"/>
        <v>10000</v>
      </c>
      <c r="M193" s="45">
        <f t="shared" si="88"/>
        <v>12500</v>
      </c>
      <c r="N193" s="89">
        <f t="shared" si="92"/>
        <v>5000</v>
      </c>
      <c r="O193" s="46"/>
    </row>
    <row r="194" spans="1:15" ht="24.95" customHeight="1" x14ac:dyDescent="0.25">
      <c r="A194" s="88"/>
      <c r="B194" s="40"/>
      <c r="C194" s="41"/>
      <c r="D194" s="41"/>
      <c r="E194" s="41"/>
      <c r="F194" s="41"/>
      <c r="G194" s="41"/>
      <c r="H194" s="44" t="s">
        <v>176</v>
      </c>
      <c r="I194" s="45">
        <v>40000</v>
      </c>
      <c r="J194" s="45">
        <v>0</v>
      </c>
      <c r="K194" s="45">
        <v>10000</v>
      </c>
      <c r="L194" s="45">
        <f t="shared" si="91"/>
        <v>50000</v>
      </c>
      <c r="M194" s="45">
        <f t="shared" si="88"/>
        <v>62500</v>
      </c>
      <c r="N194" s="89">
        <f t="shared" si="92"/>
        <v>25000</v>
      </c>
      <c r="O194" s="46"/>
    </row>
    <row r="195" spans="1:15" ht="24.95" customHeight="1" x14ac:dyDescent="0.25">
      <c r="A195" s="88"/>
      <c r="B195" s="40"/>
      <c r="C195" s="41"/>
      <c r="D195" s="41"/>
      <c r="E195" s="41"/>
      <c r="F195" s="41"/>
      <c r="G195" s="41"/>
      <c r="H195" s="44" t="s">
        <v>177</v>
      </c>
      <c r="I195" s="45">
        <v>60000</v>
      </c>
      <c r="J195" s="45">
        <v>0</v>
      </c>
      <c r="K195" s="45">
        <v>0</v>
      </c>
      <c r="L195" s="45">
        <f t="shared" si="91"/>
        <v>60000</v>
      </c>
      <c r="M195" s="45">
        <f t="shared" si="88"/>
        <v>75000</v>
      </c>
      <c r="N195" s="89">
        <f t="shared" si="92"/>
        <v>30000</v>
      </c>
      <c r="O195" s="46"/>
    </row>
    <row r="196" spans="1:15" ht="24.95" customHeight="1" x14ac:dyDescent="0.25">
      <c r="A196" s="88"/>
      <c r="B196" s="40"/>
      <c r="C196" s="41"/>
      <c r="D196" s="41"/>
      <c r="E196" s="41"/>
      <c r="F196" s="41"/>
      <c r="G196" s="41"/>
      <c r="H196" s="44" t="s">
        <v>179</v>
      </c>
      <c r="I196" s="45">
        <v>200000</v>
      </c>
      <c r="J196" s="45">
        <v>0</v>
      </c>
      <c r="K196" s="45">
        <v>0</v>
      </c>
      <c r="L196" s="45">
        <f t="shared" si="91"/>
        <v>200000</v>
      </c>
      <c r="M196" s="45">
        <f t="shared" si="88"/>
        <v>250000</v>
      </c>
      <c r="N196" s="89">
        <f t="shared" si="92"/>
        <v>100000</v>
      </c>
      <c r="O196" s="46"/>
    </row>
    <row r="197" spans="1:15" ht="24.95" customHeight="1" x14ac:dyDescent="0.25">
      <c r="A197" s="88"/>
      <c r="B197" s="40"/>
      <c r="C197" s="41"/>
      <c r="D197" s="41"/>
      <c r="E197" s="41"/>
      <c r="F197" s="41"/>
      <c r="G197" s="41"/>
      <c r="H197" s="44" t="s">
        <v>178</v>
      </c>
      <c r="I197" s="45">
        <f>75000*2</f>
        <v>150000</v>
      </c>
      <c r="J197" s="45">
        <v>0</v>
      </c>
      <c r="K197" s="45">
        <v>0</v>
      </c>
      <c r="L197" s="45">
        <f t="shared" si="91"/>
        <v>150000</v>
      </c>
      <c r="M197" s="45">
        <f t="shared" si="88"/>
        <v>187500</v>
      </c>
      <c r="N197" s="89">
        <f t="shared" si="92"/>
        <v>75000</v>
      </c>
      <c r="O197" s="46"/>
    </row>
    <row r="198" spans="1:15" ht="24.95" customHeight="1" x14ac:dyDescent="0.25">
      <c r="A198" s="88"/>
      <c r="B198" s="40"/>
      <c r="C198" s="41"/>
      <c r="D198" s="41"/>
      <c r="E198" s="41"/>
      <c r="F198" s="41"/>
      <c r="G198" s="41"/>
      <c r="H198" s="44" t="s">
        <v>268</v>
      </c>
      <c r="I198" s="45">
        <v>70000</v>
      </c>
      <c r="J198" s="45">
        <v>0</v>
      </c>
      <c r="K198" s="45">
        <v>0</v>
      </c>
      <c r="L198" s="45">
        <f t="shared" si="91"/>
        <v>70000</v>
      </c>
      <c r="M198" s="45">
        <f t="shared" si="88"/>
        <v>87500</v>
      </c>
      <c r="N198" s="89">
        <f t="shared" si="92"/>
        <v>35000</v>
      </c>
      <c r="O198" s="46"/>
    </row>
    <row r="199" spans="1:15" ht="24.95" customHeight="1" x14ac:dyDescent="0.25">
      <c r="A199" s="88"/>
      <c r="B199" s="40"/>
      <c r="C199" s="41"/>
      <c r="D199" s="41"/>
      <c r="E199" s="41"/>
      <c r="F199" s="41"/>
      <c r="G199" s="41"/>
      <c r="H199" s="44" t="s">
        <v>269</v>
      </c>
      <c r="I199" s="45">
        <v>70000</v>
      </c>
      <c r="J199" s="45">
        <v>0</v>
      </c>
      <c r="K199" s="45">
        <v>0</v>
      </c>
      <c r="L199" s="45">
        <f t="shared" si="91"/>
        <v>70000</v>
      </c>
      <c r="M199" s="45">
        <f t="shared" si="88"/>
        <v>87500</v>
      </c>
      <c r="N199" s="89">
        <f t="shared" si="92"/>
        <v>35000</v>
      </c>
      <c r="O199" s="46"/>
    </row>
    <row r="200" spans="1:15" ht="24.95" customHeight="1" x14ac:dyDescent="0.25">
      <c r="A200" s="88" t="s">
        <v>337</v>
      </c>
      <c r="B200" s="41" t="s">
        <v>267</v>
      </c>
      <c r="C200" s="41" t="s">
        <v>12</v>
      </c>
      <c r="D200" s="41"/>
      <c r="E200" s="41"/>
      <c r="F200" s="41"/>
      <c r="G200" s="41"/>
      <c r="H200" s="44" t="s">
        <v>336</v>
      </c>
      <c r="I200" s="45">
        <v>0</v>
      </c>
      <c r="J200" s="45">
        <v>0</v>
      </c>
      <c r="K200" s="45">
        <v>35000</v>
      </c>
      <c r="L200" s="45">
        <f t="shared" si="91"/>
        <v>35000</v>
      </c>
      <c r="M200" s="45">
        <f t="shared" si="88"/>
        <v>43750</v>
      </c>
      <c r="N200" s="89">
        <f>L200</f>
        <v>35000</v>
      </c>
      <c r="O200" s="46" t="s">
        <v>13</v>
      </c>
    </row>
    <row r="201" spans="1:15" ht="24.95" customHeight="1" x14ac:dyDescent="0.25">
      <c r="A201" s="91" t="s">
        <v>357</v>
      </c>
      <c r="B201" s="59" t="s">
        <v>267</v>
      </c>
      <c r="C201" s="41" t="s">
        <v>12</v>
      </c>
      <c r="D201" s="59"/>
      <c r="E201" s="59"/>
      <c r="F201" s="59"/>
      <c r="G201" s="59"/>
      <c r="H201" s="61" t="s">
        <v>358</v>
      </c>
      <c r="I201" s="55">
        <v>0</v>
      </c>
      <c r="J201" s="55">
        <v>0</v>
      </c>
      <c r="K201" s="55">
        <v>57000</v>
      </c>
      <c r="L201" s="55">
        <f t="shared" si="91"/>
        <v>57000</v>
      </c>
      <c r="M201" s="55">
        <f t="shared" si="88"/>
        <v>71250</v>
      </c>
      <c r="N201" s="89">
        <f t="shared" ref="N201:N204" si="93">L201</f>
        <v>57000</v>
      </c>
      <c r="O201" s="46" t="s">
        <v>13</v>
      </c>
    </row>
    <row r="202" spans="1:15" ht="24.95" customHeight="1" x14ac:dyDescent="0.25">
      <c r="A202" s="88" t="s">
        <v>376</v>
      </c>
      <c r="B202" s="59" t="s">
        <v>267</v>
      </c>
      <c r="C202" s="41" t="s">
        <v>12</v>
      </c>
      <c r="D202" s="41"/>
      <c r="E202" s="41"/>
      <c r="F202" s="41"/>
      <c r="G202" s="41"/>
      <c r="H202" s="44" t="s">
        <v>377</v>
      </c>
      <c r="I202" s="45">
        <v>0</v>
      </c>
      <c r="J202" s="45">
        <v>0</v>
      </c>
      <c r="K202" s="45">
        <v>30000</v>
      </c>
      <c r="L202" s="45">
        <f t="shared" si="91"/>
        <v>30000</v>
      </c>
      <c r="M202" s="45">
        <f t="shared" si="88"/>
        <v>37500</v>
      </c>
      <c r="N202" s="89">
        <f t="shared" si="93"/>
        <v>30000</v>
      </c>
      <c r="O202" s="46" t="s">
        <v>13</v>
      </c>
    </row>
    <row r="203" spans="1:15" ht="24.95" customHeight="1" x14ac:dyDescent="0.25">
      <c r="A203" s="91" t="s">
        <v>378</v>
      </c>
      <c r="B203" s="59" t="s">
        <v>267</v>
      </c>
      <c r="C203" s="59" t="s">
        <v>12</v>
      </c>
      <c r="D203" s="59"/>
      <c r="E203" s="59"/>
      <c r="F203" s="59"/>
      <c r="G203" s="59"/>
      <c r="H203" s="61" t="s">
        <v>379</v>
      </c>
      <c r="I203" s="55">
        <v>0</v>
      </c>
      <c r="J203" s="55">
        <v>0</v>
      </c>
      <c r="K203" s="55">
        <v>82000</v>
      </c>
      <c r="L203" s="55">
        <f t="shared" si="91"/>
        <v>82000</v>
      </c>
      <c r="M203" s="55">
        <f t="shared" si="88"/>
        <v>102500</v>
      </c>
      <c r="N203" s="89">
        <f t="shared" si="93"/>
        <v>82000</v>
      </c>
      <c r="O203" s="46" t="s">
        <v>13</v>
      </c>
    </row>
    <row r="204" spans="1:15" ht="24.95" customHeight="1" x14ac:dyDescent="0.25">
      <c r="A204" s="91" t="s">
        <v>391</v>
      </c>
      <c r="B204" s="59" t="s">
        <v>267</v>
      </c>
      <c r="C204" s="59" t="s">
        <v>12</v>
      </c>
      <c r="D204" s="59"/>
      <c r="E204" s="59"/>
      <c r="F204" s="59"/>
      <c r="G204" s="59"/>
      <c r="H204" s="61" t="s">
        <v>392</v>
      </c>
      <c r="I204" s="55">
        <v>0</v>
      </c>
      <c r="J204" s="55">
        <v>0</v>
      </c>
      <c r="K204" s="55">
        <v>85000</v>
      </c>
      <c r="L204" s="55">
        <f t="shared" si="91"/>
        <v>85000</v>
      </c>
      <c r="M204" s="55">
        <f t="shared" si="88"/>
        <v>106250</v>
      </c>
      <c r="N204" s="89">
        <f t="shared" si="93"/>
        <v>85000</v>
      </c>
      <c r="O204" s="46" t="s">
        <v>13</v>
      </c>
    </row>
    <row r="205" spans="1:15" ht="24.95" customHeight="1" x14ac:dyDescent="0.25">
      <c r="A205" s="70"/>
      <c r="B205" s="71"/>
      <c r="C205" s="72"/>
      <c r="D205" s="72"/>
      <c r="E205" s="72"/>
      <c r="F205" s="72"/>
      <c r="G205" s="73">
        <v>32323</v>
      </c>
      <c r="H205" s="74" t="s">
        <v>225</v>
      </c>
      <c r="I205" s="75">
        <f>I206+I211</f>
        <v>520000</v>
      </c>
      <c r="J205" s="75">
        <f t="shared" ref="J205:N205" si="94">J206+J211</f>
        <v>0</v>
      </c>
      <c r="K205" s="75">
        <f t="shared" si="94"/>
        <v>0</v>
      </c>
      <c r="L205" s="75">
        <f t="shared" si="94"/>
        <v>520000</v>
      </c>
      <c r="M205" s="75">
        <f t="shared" si="94"/>
        <v>650000</v>
      </c>
      <c r="N205" s="75">
        <f t="shared" si="94"/>
        <v>316575.00000000006</v>
      </c>
      <c r="O205" s="92"/>
    </row>
    <row r="206" spans="1:15" ht="24" x14ac:dyDescent="0.25">
      <c r="A206" s="31"/>
      <c r="B206" s="32" t="s">
        <v>293</v>
      </c>
      <c r="C206" s="33" t="s">
        <v>14</v>
      </c>
      <c r="D206" s="33" t="s">
        <v>223</v>
      </c>
      <c r="E206" s="33"/>
      <c r="F206" s="33" t="s">
        <v>20</v>
      </c>
      <c r="G206" s="34">
        <v>323230</v>
      </c>
      <c r="H206" s="35" t="s">
        <v>236</v>
      </c>
      <c r="I206" s="36">
        <f>SUM(I207:I210)</f>
        <v>500000</v>
      </c>
      <c r="J206" s="36">
        <f t="shared" ref="J206:N206" si="95">SUM(J207:J210)</f>
        <v>0</v>
      </c>
      <c r="K206" s="36">
        <f t="shared" si="95"/>
        <v>0</v>
      </c>
      <c r="L206" s="36">
        <f t="shared" si="95"/>
        <v>500000</v>
      </c>
      <c r="M206" s="36">
        <f t="shared" si="95"/>
        <v>625000</v>
      </c>
      <c r="N206" s="36">
        <f t="shared" si="95"/>
        <v>293125.00000000006</v>
      </c>
      <c r="O206" s="38" t="s">
        <v>13</v>
      </c>
    </row>
    <row r="207" spans="1:15" ht="24.95" customHeight="1" x14ac:dyDescent="0.25">
      <c r="A207" s="39"/>
      <c r="B207" s="40"/>
      <c r="C207" s="41"/>
      <c r="D207" s="41"/>
      <c r="E207" s="41"/>
      <c r="F207" s="41"/>
      <c r="G207" s="43"/>
      <c r="H207" s="44" t="s">
        <v>297</v>
      </c>
      <c r="I207" s="45">
        <v>400000</v>
      </c>
      <c r="J207" s="45">
        <v>0</v>
      </c>
      <c r="K207" s="45">
        <v>0</v>
      </c>
      <c r="L207" s="45">
        <f t="shared" ref="L207:L210" si="96">SUM(I207:K207)</f>
        <v>400000</v>
      </c>
      <c r="M207" s="45">
        <f t="shared" ref="M207:M211" si="97">L207*1.25</f>
        <v>500000</v>
      </c>
      <c r="N207" s="45">
        <f>L207/2*1.1725</f>
        <v>234500.00000000003</v>
      </c>
      <c r="O207" s="46"/>
    </row>
    <row r="208" spans="1:15" ht="24.95" customHeight="1" x14ac:dyDescent="0.25">
      <c r="A208" s="39"/>
      <c r="B208" s="40"/>
      <c r="C208" s="41"/>
      <c r="D208" s="41"/>
      <c r="E208" s="41"/>
      <c r="F208" s="41"/>
      <c r="G208" s="43"/>
      <c r="H208" s="44" t="s">
        <v>298</v>
      </c>
      <c r="I208" s="45">
        <f>12500*2</f>
        <v>25000</v>
      </c>
      <c r="J208" s="45">
        <v>0</v>
      </c>
      <c r="K208" s="45">
        <v>0</v>
      </c>
      <c r="L208" s="45">
        <f t="shared" si="96"/>
        <v>25000</v>
      </c>
      <c r="M208" s="45">
        <f t="shared" si="97"/>
        <v>31250</v>
      </c>
      <c r="N208" s="45">
        <f t="shared" ref="N208:N210" si="98">L208/2*1.1725</f>
        <v>14656.250000000002</v>
      </c>
      <c r="O208" s="46"/>
    </row>
    <row r="209" spans="1:15" ht="24.95" customHeight="1" x14ac:dyDescent="0.25">
      <c r="A209" s="39"/>
      <c r="B209" s="40"/>
      <c r="C209" s="41"/>
      <c r="D209" s="41"/>
      <c r="E209" s="41"/>
      <c r="F209" s="41"/>
      <c r="G209" s="43"/>
      <c r="H209" s="44" t="s">
        <v>299</v>
      </c>
      <c r="I209" s="45">
        <v>25000</v>
      </c>
      <c r="J209" s="45">
        <v>0</v>
      </c>
      <c r="K209" s="45">
        <v>0</v>
      </c>
      <c r="L209" s="45">
        <f t="shared" si="96"/>
        <v>25000</v>
      </c>
      <c r="M209" s="45">
        <f t="shared" si="97"/>
        <v>31250</v>
      </c>
      <c r="N209" s="45">
        <f t="shared" si="98"/>
        <v>14656.250000000002</v>
      </c>
      <c r="O209" s="46"/>
    </row>
    <row r="210" spans="1:15" ht="24.95" customHeight="1" x14ac:dyDescent="0.25">
      <c r="A210" s="39"/>
      <c r="B210" s="40"/>
      <c r="C210" s="41"/>
      <c r="D210" s="41"/>
      <c r="E210" s="41"/>
      <c r="F210" s="41"/>
      <c r="G210" s="43"/>
      <c r="H210" s="44" t="s">
        <v>300</v>
      </c>
      <c r="I210" s="45">
        <v>50000</v>
      </c>
      <c r="J210" s="45">
        <v>0</v>
      </c>
      <c r="K210" s="45">
        <v>0</v>
      </c>
      <c r="L210" s="45">
        <f t="shared" si="96"/>
        <v>50000</v>
      </c>
      <c r="M210" s="45">
        <f t="shared" si="97"/>
        <v>62500</v>
      </c>
      <c r="N210" s="45">
        <f t="shared" si="98"/>
        <v>29312.500000000004</v>
      </c>
      <c r="O210" s="46"/>
    </row>
    <row r="211" spans="1:15" s="5" customFormat="1" ht="24.95" customHeight="1" x14ac:dyDescent="0.25">
      <c r="A211" s="31"/>
      <c r="B211" s="32" t="s">
        <v>292</v>
      </c>
      <c r="C211" s="33" t="s">
        <v>12</v>
      </c>
      <c r="D211" s="33"/>
      <c r="E211" s="33"/>
      <c r="F211" s="33"/>
      <c r="G211" s="34">
        <v>323232</v>
      </c>
      <c r="H211" s="35" t="s">
        <v>180</v>
      </c>
      <c r="I211" s="36">
        <v>20000</v>
      </c>
      <c r="J211" s="36">
        <v>0</v>
      </c>
      <c r="K211" s="36">
        <v>0</v>
      </c>
      <c r="L211" s="36">
        <f>SUM(I211:K211)</f>
        <v>20000</v>
      </c>
      <c r="M211" s="36">
        <f t="shared" si="97"/>
        <v>25000</v>
      </c>
      <c r="N211" s="36">
        <f>I211*1.1725</f>
        <v>23450.000000000004</v>
      </c>
      <c r="O211" s="38"/>
    </row>
    <row r="212" spans="1:15" ht="24.95" customHeight="1" x14ac:dyDescent="0.25">
      <c r="A212" s="93"/>
      <c r="B212" s="71"/>
      <c r="C212" s="72"/>
      <c r="D212" s="72"/>
      <c r="E212" s="72"/>
      <c r="F212" s="72"/>
      <c r="G212" s="72">
        <v>3233</v>
      </c>
      <c r="H212" s="74" t="s">
        <v>181</v>
      </c>
      <c r="I212" s="94">
        <f>I214+I213</f>
        <v>125000</v>
      </c>
      <c r="J212" s="94">
        <f t="shared" ref="J212:N212" si="99">J214+J213</f>
        <v>0</v>
      </c>
      <c r="K212" s="94">
        <f t="shared" si="99"/>
        <v>50000</v>
      </c>
      <c r="L212" s="94">
        <f t="shared" si="99"/>
        <v>175000</v>
      </c>
      <c r="M212" s="94">
        <f t="shared" si="99"/>
        <v>218750</v>
      </c>
      <c r="N212" s="94">
        <f t="shared" si="99"/>
        <v>209062.5</v>
      </c>
      <c r="O212" s="95"/>
    </row>
    <row r="213" spans="1:15" ht="32.25" customHeight="1" x14ac:dyDescent="0.25">
      <c r="A213" s="91" t="s">
        <v>395</v>
      </c>
      <c r="B213" s="58" t="s">
        <v>394</v>
      </c>
      <c r="C213" s="59" t="s">
        <v>12</v>
      </c>
      <c r="D213" s="59"/>
      <c r="E213" s="59"/>
      <c r="F213" s="59"/>
      <c r="G213" s="59">
        <v>32339</v>
      </c>
      <c r="H213" s="61" t="s">
        <v>393</v>
      </c>
      <c r="I213" s="96">
        <v>0</v>
      </c>
      <c r="J213" s="96">
        <v>0</v>
      </c>
      <c r="K213" s="96">
        <v>50000</v>
      </c>
      <c r="L213" s="96">
        <f t="shared" ref="L213:L214" si="100">SUM(I213:K213)</f>
        <v>50000</v>
      </c>
      <c r="M213" s="96">
        <f t="shared" ref="M213:M214" si="101">L213*1.25</f>
        <v>62500</v>
      </c>
      <c r="N213" s="96">
        <f>M213</f>
        <v>62500</v>
      </c>
      <c r="O213" s="46" t="s">
        <v>13</v>
      </c>
    </row>
    <row r="214" spans="1:15" ht="24.95" customHeight="1" x14ac:dyDescent="0.25">
      <c r="A214" s="39" t="s">
        <v>380</v>
      </c>
      <c r="B214" s="40" t="s">
        <v>270</v>
      </c>
      <c r="C214" s="41" t="s">
        <v>12</v>
      </c>
      <c r="D214" s="41"/>
      <c r="E214" s="41"/>
      <c r="F214" s="41"/>
      <c r="G214" s="43">
        <v>32339</v>
      </c>
      <c r="H214" s="44" t="s">
        <v>271</v>
      </c>
      <c r="I214" s="96">
        <v>125000</v>
      </c>
      <c r="J214" s="96">
        <v>0</v>
      </c>
      <c r="K214" s="96">
        <v>0</v>
      </c>
      <c r="L214" s="96">
        <f t="shared" si="100"/>
        <v>125000</v>
      </c>
      <c r="M214" s="96">
        <f t="shared" si="101"/>
        <v>156250</v>
      </c>
      <c r="N214" s="45">
        <f>L214*1.1725</f>
        <v>146562.5</v>
      </c>
      <c r="O214" s="46" t="s">
        <v>13</v>
      </c>
    </row>
    <row r="215" spans="1:15" ht="24.95" customHeight="1" x14ac:dyDescent="0.25">
      <c r="A215" s="70"/>
      <c r="B215" s="71"/>
      <c r="C215" s="72"/>
      <c r="D215" s="72"/>
      <c r="E215" s="72"/>
      <c r="F215" s="72"/>
      <c r="G215" s="73">
        <v>3234</v>
      </c>
      <c r="H215" s="74" t="s">
        <v>182</v>
      </c>
      <c r="I215" s="75">
        <f>I216+I219+I220+I221</f>
        <v>825000</v>
      </c>
      <c r="J215" s="75">
        <f t="shared" ref="J215:N215" si="102">J216+J219+J220+J221</f>
        <v>0</v>
      </c>
      <c r="K215" s="75">
        <f t="shared" si="102"/>
        <v>108000</v>
      </c>
      <c r="L215" s="75">
        <f t="shared" si="102"/>
        <v>933000</v>
      </c>
      <c r="M215" s="75">
        <f t="shared" si="102"/>
        <v>1166250</v>
      </c>
      <c r="N215" s="75">
        <f t="shared" si="102"/>
        <v>600906.25000000012</v>
      </c>
      <c r="O215" s="92"/>
    </row>
    <row r="216" spans="1:15" ht="24.95" customHeight="1" x14ac:dyDescent="0.25">
      <c r="A216" s="39" t="s">
        <v>362</v>
      </c>
      <c r="B216" s="40" t="s">
        <v>272</v>
      </c>
      <c r="C216" s="41" t="s">
        <v>14</v>
      </c>
      <c r="D216" s="41" t="s">
        <v>223</v>
      </c>
      <c r="E216" s="97" t="s">
        <v>254</v>
      </c>
      <c r="F216" s="97" t="s">
        <v>20</v>
      </c>
      <c r="G216" s="98">
        <v>32342</v>
      </c>
      <c r="H216" s="99" t="s">
        <v>359</v>
      </c>
      <c r="I216" s="100">
        <f>I217+I218</f>
        <v>760000</v>
      </c>
      <c r="J216" s="100">
        <f t="shared" ref="J216:N216" si="103">J217+J218</f>
        <v>0</v>
      </c>
      <c r="K216" s="100">
        <f t="shared" si="103"/>
        <v>81000</v>
      </c>
      <c r="L216" s="100">
        <f t="shared" si="103"/>
        <v>841000</v>
      </c>
      <c r="M216" s="100">
        <f t="shared" si="103"/>
        <v>1051250</v>
      </c>
      <c r="N216" s="100">
        <f t="shared" si="103"/>
        <v>493036.25000000006</v>
      </c>
      <c r="O216" s="86" t="s">
        <v>13</v>
      </c>
    </row>
    <row r="217" spans="1:15" ht="36" customHeight="1" x14ac:dyDescent="0.25">
      <c r="A217" s="39"/>
      <c r="B217" s="40"/>
      <c r="C217" s="41"/>
      <c r="D217" s="41"/>
      <c r="E217" s="41"/>
      <c r="F217" s="41"/>
      <c r="G217" s="43"/>
      <c r="H217" s="44" t="s">
        <v>360</v>
      </c>
      <c r="I217" s="45">
        <v>760000</v>
      </c>
      <c r="J217" s="45">
        <v>0</v>
      </c>
      <c r="K217" s="45">
        <v>1000</v>
      </c>
      <c r="L217" s="45">
        <f t="shared" ref="L217:L221" si="104">SUM(I217:K217)</f>
        <v>761000</v>
      </c>
      <c r="M217" s="45">
        <f t="shared" ref="M217:M221" si="105">L217*1.25</f>
        <v>951250</v>
      </c>
      <c r="N217" s="45">
        <f>L217*1.1725/2</f>
        <v>446136.25000000006</v>
      </c>
      <c r="O217" s="46"/>
    </row>
    <row r="218" spans="1:15" ht="24.95" customHeight="1" x14ac:dyDescent="0.25">
      <c r="A218" s="39"/>
      <c r="B218" s="40"/>
      <c r="C218" s="41"/>
      <c r="D218" s="41"/>
      <c r="E218" s="41"/>
      <c r="F218" s="41"/>
      <c r="G218" s="43"/>
      <c r="H218" s="44" t="s">
        <v>361</v>
      </c>
      <c r="I218" s="45">
        <v>0</v>
      </c>
      <c r="J218" s="45">
        <v>0</v>
      </c>
      <c r="K218" s="45">
        <v>80000</v>
      </c>
      <c r="L218" s="45">
        <f t="shared" si="104"/>
        <v>80000</v>
      </c>
      <c r="M218" s="45">
        <f t="shared" si="105"/>
        <v>100000</v>
      </c>
      <c r="N218" s="45">
        <f>L218*1.1725/2</f>
        <v>46900.000000000007</v>
      </c>
      <c r="O218" s="46"/>
    </row>
    <row r="219" spans="1:15" ht="24.95" customHeight="1" x14ac:dyDescent="0.25">
      <c r="A219" s="39" t="s">
        <v>382</v>
      </c>
      <c r="B219" s="40" t="s">
        <v>383</v>
      </c>
      <c r="C219" s="41" t="s">
        <v>12</v>
      </c>
      <c r="D219" s="41"/>
      <c r="E219" s="97"/>
      <c r="F219" s="97"/>
      <c r="G219" s="98">
        <v>32342</v>
      </c>
      <c r="H219" s="99" t="s">
        <v>381</v>
      </c>
      <c r="I219" s="100">
        <v>0</v>
      </c>
      <c r="J219" s="100">
        <v>0</v>
      </c>
      <c r="K219" s="100">
        <v>27000</v>
      </c>
      <c r="L219" s="100">
        <f t="shared" si="104"/>
        <v>27000</v>
      </c>
      <c r="M219" s="100">
        <f t="shared" si="105"/>
        <v>33750</v>
      </c>
      <c r="N219" s="100">
        <f>L219*1.1725</f>
        <v>31657.500000000004</v>
      </c>
      <c r="O219" s="86" t="s">
        <v>13</v>
      </c>
    </row>
    <row r="220" spans="1:15" ht="24.95" customHeight="1" x14ac:dyDescent="0.25">
      <c r="A220" s="39"/>
      <c r="B220" s="40"/>
      <c r="C220" s="41"/>
      <c r="D220" s="41"/>
      <c r="E220" s="41"/>
      <c r="F220" s="41"/>
      <c r="G220" s="43">
        <v>32344</v>
      </c>
      <c r="H220" s="44" t="s">
        <v>183</v>
      </c>
      <c r="I220" s="45">
        <v>15000</v>
      </c>
      <c r="J220" s="45">
        <v>0</v>
      </c>
      <c r="K220" s="45">
        <v>0</v>
      </c>
      <c r="L220" s="45">
        <f t="shared" si="104"/>
        <v>15000</v>
      </c>
      <c r="M220" s="45">
        <f t="shared" si="105"/>
        <v>18750</v>
      </c>
      <c r="N220" s="45">
        <f>L220*1.1725</f>
        <v>17587.5</v>
      </c>
      <c r="O220" s="46"/>
    </row>
    <row r="221" spans="1:15" ht="26.25" customHeight="1" x14ac:dyDescent="0.25">
      <c r="A221" s="39" t="s">
        <v>363</v>
      </c>
      <c r="B221" s="40" t="s">
        <v>273</v>
      </c>
      <c r="C221" s="41" t="s">
        <v>12</v>
      </c>
      <c r="D221" s="41"/>
      <c r="E221" s="97"/>
      <c r="F221" s="97"/>
      <c r="G221" s="98">
        <v>323492</v>
      </c>
      <c r="H221" s="99" t="s">
        <v>184</v>
      </c>
      <c r="I221" s="100">
        <v>50000</v>
      </c>
      <c r="J221" s="100">
        <v>0</v>
      </c>
      <c r="K221" s="100">
        <v>0</v>
      </c>
      <c r="L221" s="100">
        <f t="shared" si="104"/>
        <v>50000</v>
      </c>
      <c r="M221" s="100">
        <f t="shared" si="105"/>
        <v>62500</v>
      </c>
      <c r="N221" s="100">
        <f>L221*1.1725</f>
        <v>58625.000000000007</v>
      </c>
      <c r="O221" s="86" t="s">
        <v>13</v>
      </c>
    </row>
    <row r="222" spans="1:15" ht="24.95" customHeight="1" x14ac:dyDescent="0.25">
      <c r="A222" s="47"/>
      <c r="B222" s="48"/>
      <c r="C222" s="49"/>
      <c r="D222" s="49"/>
      <c r="E222" s="49"/>
      <c r="F222" s="49"/>
      <c r="G222" s="50">
        <v>3235</v>
      </c>
      <c r="H222" s="51" t="s">
        <v>294</v>
      </c>
      <c r="I222" s="52">
        <f>I225+I223</f>
        <v>150000</v>
      </c>
      <c r="J222" s="52">
        <f t="shared" ref="J222:N222" si="106">J225+J223</f>
        <v>0</v>
      </c>
      <c r="K222" s="52">
        <f t="shared" si="106"/>
        <v>26000</v>
      </c>
      <c r="L222" s="52">
        <f t="shared" si="106"/>
        <v>176000</v>
      </c>
      <c r="M222" s="52">
        <f t="shared" si="106"/>
        <v>220000</v>
      </c>
      <c r="N222" s="52">
        <f t="shared" si="106"/>
        <v>201875.00000000003</v>
      </c>
      <c r="O222" s="53"/>
    </row>
    <row r="223" spans="1:15" ht="24.95" customHeight="1" x14ac:dyDescent="0.25">
      <c r="A223" s="31"/>
      <c r="B223" s="32"/>
      <c r="C223" s="33"/>
      <c r="D223" s="33"/>
      <c r="E223" s="33"/>
      <c r="F223" s="33"/>
      <c r="G223" s="34">
        <v>32354</v>
      </c>
      <c r="H223" s="35" t="s">
        <v>396</v>
      </c>
      <c r="I223" s="36">
        <f>I224</f>
        <v>0</v>
      </c>
      <c r="J223" s="36">
        <f t="shared" ref="J223:N223" si="107">J224</f>
        <v>0</v>
      </c>
      <c r="K223" s="36">
        <f t="shared" si="107"/>
        <v>26000</v>
      </c>
      <c r="L223" s="36">
        <f t="shared" si="107"/>
        <v>26000</v>
      </c>
      <c r="M223" s="36">
        <f t="shared" si="107"/>
        <v>32500</v>
      </c>
      <c r="N223" s="36">
        <f t="shared" si="107"/>
        <v>26000</v>
      </c>
      <c r="O223" s="101"/>
    </row>
    <row r="224" spans="1:15" ht="37.5" customHeight="1" x14ac:dyDescent="0.25">
      <c r="A224" s="57" t="s">
        <v>368</v>
      </c>
      <c r="B224" s="58" t="s">
        <v>384</v>
      </c>
      <c r="C224" s="41" t="s">
        <v>12</v>
      </c>
      <c r="D224" s="59"/>
      <c r="E224" s="59"/>
      <c r="F224" s="59"/>
      <c r="G224" s="60">
        <v>32354</v>
      </c>
      <c r="H224" s="61" t="s">
        <v>385</v>
      </c>
      <c r="I224" s="55">
        <v>0</v>
      </c>
      <c r="J224" s="55">
        <v>0</v>
      </c>
      <c r="K224" s="55">
        <v>26000</v>
      </c>
      <c r="L224" s="55">
        <f>SUM(I224:K224)</f>
        <v>26000</v>
      </c>
      <c r="M224" s="55">
        <f t="shared" ref="M224" si="108">L224*1.25</f>
        <v>32500</v>
      </c>
      <c r="N224" s="55">
        <f>L224</f>
        <v>26000</v>
      </c>
      <c r="O224" s="46" t="s">
        <v>13</v>
      </c>
    </row>
    <row r="225" spans="1:15" ht="24.95" customHeight="1" x14ac:dyDescent="0.25">
      <c r="A225" s="31"/>
      <c r="B225" s="32"/>
      <c r="C225" s="33"/>
      <c r="D225" s="33"/>
      <c r="E225" s="33"/>
      <c r="F225" s="33"/>
      <c r="G225" s="34">
        <v>32359</v>
      </c>
      <c r="H225" s="35" t="s">
        <v>185</v>
      </c>
      <c r="I225" s="36">
        <f>I226</f>
        <v>150000</v>
      </c>
      <c r="J225" s="36">
        <f t="shared" ref="J225:N225" si="109">J226</f>
        <v>0</v>
      </c>
      <c r="K225" s="36">
        <f t="shared" si="109"/>
        <v>0</v>
      </c>
      <c r="L225" s="36">
        <f t="shared" si="109"/>
        <v>150000</v>
      </c>
      <c r="M225" s="36">
        <f t="shared" si="109"/>
        <v>187500</v>
      </c>
      <c r="N225" s="36">
        <f t="shared" si="109"/>
        <v>175875.00000000003</v>
      </c>
      <c r="O225" s="101"/>
    </row>
    <row r="226" spans="1:15" ht="24.95" customHeight="1" x14ac:dyDescent="0.25">
      <c r="A226" s="39"/>
      <c r="B226" s="40"/>
      <c r="C226" s="41"/>
      <c r="D226" s="41"/>
      <c r="E226" s="41"/>
      <c r="F226" s="41"/>
      <c r="G226" s="43">
        <v>32359</v>
      </c>
      <c r="H226" s="44" t="s">
        <v>186</v>
      </c>
      <c r="I226" s="45">
        <v>150000</v>
      </c>
      <c r="J226" s="45">
        <v>0</v>
      </c>
      <c r="K226" s="45">
        <v>0</v>
      </c>
      <c r="L226" s="45">
        <f>SUM(I226:K226)</f>
        <v>150000</v>
      </c>
      <c r="M226" s="45">
        <f t="shared" ref="M226" si="110">L226*1.25</f>
        <v>187500</v>
      </c>
      <c r="N226" s="45">
        <f>I226*1.1725</f>
        <v>175875.00000000003</v>
      </c>
      <c r="O226" s="46"/>
    </row>
    <row r="227" spans="1:15" ht="24.95" customHeight="1" x14ac:dyDescent="0.25">
      <c r="A227" s="47"/>
      <c r="B227" s="48"/>
      <c r="C227" s="49"/>
      <c r="D227" s="49"/>
      <c r="E227" s="49"/>
      <c r="F227" s="49"/>
      <c r="G227" s="50">
        <v>3236</v>
      </c>
      <c r="H227" s="51" t="s">
        <v>302</v>
      </c>
      <c r="I227" s="52">
        <f>I228+I230</f>
        <v>650000</v>
      </c>
      <c r="J227" s="52">
        <f t="shared" ref="J227:N227" si="111">J228+J230</f>
        <v>0</v>
      </c>
      <c r="K227" s="52">
        <f t="shared" si="111"/>
        <v>0</v>
      </c>
      <c r="L227" s="52">
        <f t="shared" si="111"/>
        <v>650000</v>
      </c>
      <c r="M227" s="52">
        <f t="shared" si="111"/>
        <v>812500</v>
      </c>
      <c r="N227" s="52">
        <f t="shared" si="111"/>
        <v>712500</v>
      </c>
      <c r="O227" s="87"/>
    </row>
    <row r="228" spans="1:15" ht="24.95" customHeight="1" x14ac:dyDescent="0.25">
      <c r="A228" s="70"/>
      <c r="B228" s="71"/>
      <c r="C228" s="72"/>
      <c r="D228" s="72"/>
      <c r="E228" s="72"/>
      <c r="F228" s="72"/>
      <c r="G228" s="73">
        <v>32363</v>
      </c>
      <c r="H228" s="74" t="s">
        <v>187</v>
      </c>
      <c r="I228" s="75">
        <f>I229</f>
        <v>400000</v>
      </c>
      <c r="J228" s="75">
        <f t="shared" ref="J228:M228" si="112">J229</f>
        <v>0</v>
      </c>
      <c r="K228" s="75">
        <f t="shared" si="112"/>
        <v>0</v>
      </c>
      <c r="L228" s="75">
        <f t="shared" si="112"/>
        <v>400000</v>
      </c>
      <c r="M228" s="75">
        <f t="shared" si="112"/>
        <v>500000</v>
      </c>
      <c r="N228" s="75">
        <f>N229</f>
        <v>400000</v>
      </c>
      <c r="O228" s="76"/>
    </row>
    <row r="229" spans="1:15" ht="36" x14ac:dyDescent="0.25">
      <c r="A229" s="39" t="s">
        <v>338</v>
      </c>
      <c r="B229" s="40" t="s">
        <v>274</v>
      </c>
      <c r="C229" s="41" t="s">
        <v>14</v>
      </c>
      <c r="D229" s="41" t="s">
        <v>15</v>
      </c>
      <c r="E229" s="42" t="s">
        <v>254</v>
      </c>
      <c r="F229" s="41" t="s">
        <v>16</v>
      </c>
      <c r="G229" s="43"/>
      <c r="H229" s="44" t="s">
        <v>188</v>
      </c>
      <c r="I229" s="45">
        <v>400000</v>
      </c>
      <c r="J229" s="45">
        <v>0</v>
      </c>
      <c r="K229" s="45">
        <v>0</v>
      </c>
      <c r="L229" s="45">
        <f>SUM(I229:K229)</f>
        <v>400000</v>
      </c>
      <c r="M229" s="45">
        <f t="shared" ref="M229" si="113">L229*1.25</f>
        <v>500000</v>
      </c>
      <c r="N229" s="45">
        <f>I229</f>
        <v>400000</v>
      </c>
      <c r="O229" s="46" t="s">
        <v>13</v>
      </c>
    </row>
    <row r="230" spans="1:15" ht="24.95" customHeight="1" x14ac:dyDescent="0.25">
      <c r="A230" s="70"/>
      <c r="B230" s="71"/>
      <c r="C230" s="72"/>
      <c r="D230" s="72"/>
      <c r="E230" s="72"/>
      <c r="F230" s="72"/>
      <c r="G230" s="73">
        <v>32369</v>
      </c>
      <c r="H230" s="74" t="s">
        <v>189</v>
      </c>
      <c r="I230" s="75">
        <f>I231</f>
        <v>250000</v>
      </c>
      <c r="J230" s="75">
        <f t="shared" ref="J230:N230" si="114">J231</f>
        <v>0</v>
      </c>
      <c r="K230" s="75">
        <f t="shared" si="114"/>
        <v>0</v>
      </c>
      <c r="L230" s="75">
        <f t="shared" si="114"/>
        <v>250000</v>
      </c>
      <c r="M230" s="75">
        <f t="shared" si="114"/>
        <v>312500</v>
      </c>
      <c r="N230" s="75">
        <f t="shared" si="114"/>
        <v>312500</v>
      </c>
      <c r="O230" s="92"/>
    </row>
    <row r="231" spans="1:15" ht="48" x14ac:dyDescent="0.25">
      <c r="A231" s="39" t="s">
        <v>364</v>
      </c>
      <c r="B231" s="40" t="s">
        <v>275</v>
      </c>
      <c r="C231" s="41" t="s">
        <v>190</v>
      </c>
      <c r="D231" s="41" t="s">
        <v>15</v>
      </c>
      <c r="E231" s="42" t="s">
        <v>365</v>
      </c>
      <c r="F231" s="41" t="s">
        <v>16</v>
      </c>
      <c r="G231" s="43">
        <v>323691</v>
      </c>
      <c r="H231" s="44" t="s">
        <v>230</v>
      </c>
      <c r="I231" s="45">
        <v>250000</v>
      </c>
      <c r="J231" s="45">
        <v>0</v>
      </c>
      <c r="K231" s="45">
        <v>0</v>
      </c>
      <c r="L231" s="45">
        <f>SUM(I231:K231)</f>
        <v>250000</v>
      </c>
      <c r="M231" s="45">
        <f t="shared" ref="M231" si="115">L231*1.25</f>
        <v>312500</v>
      </c>
      <c r="N231" s="45">
        <f>M231</f>
        <v>312500</v>
      </c>
      <c r="O231" s="46" t="s">
        <v>13</v>
      </c>
    </row>
    <row r="232" spans="1:15" ht="24.95" customHeight="1" x14ac:dyDescent="0.25">
      <c r="A232" s="70"/>
      <c r="B232" s="71"/>
      <c r="C232" s="72"/>
      <c r="D232" s="72"/>
      <c r="E232" s="72"/>
      <c r="F232" s="72"/>
      <c r="G232" s="73">
        <v>32379</v>
      </c>
      <c r="H232" s="74" t="s">
        <v>191</v>
      </c>
      <c r="I232" s="75">
        <f>I233+I236+I237</f>
        <v>235000</v>
      </c>
      <c r="J232" s="75">
        <f t="shared" ref="J232:K232" si="116">J233+J236+J237</f>
        <v>0</v>
      </c>
      <c r="K232" s="75">
        <f t="shared" si="116"/>
        <v>11000</v>
      </c>
      <c r="L232" s="75">
        <f>L233+L236+L237</f>
        <v>246000</v>
      </c>
      <c r="M232" s="75">
        <f>M233+M236+M237</f>
        <v>307500</v>
      </c>
      <c r="N232" s="75">
        <f>N233+N236+N237</f>
        <v>256522.5</v>
      </c>
      <c r="O232" s="76"/>
    </row>
    <row r="233" spans="1:15" ht="24.95" customHeight="1" x14ac:dyDescent="0.25">
      <c r="A233" s="31"/>
      <c r="B233" s="32"/>
      <c r="C233" s="33"/>
      <c r="D233" s="33"/>
      <c r="E233" s="33"/>
      <c r="F233" s="33"/>
      <c r="G233" s="34">
        <v>323795</v>
      </c>
      <c r="H233" s="35" t="s">
        <v>192</v>
      </c>
      <c r="I233" s="36">
        <f>SUM(I234:I235)</f>
        <v>35000</v>
      </c>
      <c r="J233" s="36">
        <v>0</v>
      </c>
      <c r="K233" s="36">
        <v>0</v>
      </c>
      <c r="L233" s="36">
        <f>SUM(L234:L235)</f>
        <v>35000</v>
      </c>
      <c r="M233" s="36">
        <f t="shared" ref="M233:N233" si="117">SUM(M234:M235)</f>
        <v>43750</v>
      </c>
      <c r="N233" s="36">
        <f t="shared" si="117"/>
        <v>35000</v>
      </c>
      <c r="O233" s="38"/>
    </row>
    <row r="234" spans="1:15" ht="24.95" customHeight="1" x14ac:dyDescent="0.25">
      <c r="A234" s="39"/>
      <c r="B234" s="40" t="s">
        <v>276</v>
      </c>
      <c r="C234" s="41" t="s">
        <v>12</v>
      </c>
      <c r="D234" s="41"/>
      <c r="E234" s="41"/>
      <c r="F234" s="41"/>
      <c r="G234" s="43"/>
      <c r="H234" s="44" t="s">
        <v>193</v>
      </c>
      <c r="I234" s="45">
        <v>30000</v>
      </c>
      <c r="J234" s="45">
        <v>0</v>
      </c>
      <c r="K234" s="45">
        <v>0</v>
      </c>
      <c r="L234" s="45">
        <f t="shared" ref="L234:L235" si="118">SUM(I234:K234)</f>
        <v>30000</v>
      </c>
      <c r="M234" s="45">
        <f t="shared" ref="M234:M237" si="119">L234*1.25</f>
        <v>37500</v>
      </c>
      <c r="N234" s="45">
        <f>L234</f>
        <v>30000</v>
      </c>
      <c r="O234" s="46"/>
    </row>
    <row r="235" spans="1:15" ht="24.95" customHeight="1" x14ac:dyDescent="0.25">
      <c r="A235" s="39"/>
      <c r="B235" s="40"/>
      <c r="C235" s="41"/>
      <c r="D235" s="41"/>
      <c r="E235" s="41"/>
      <c r="F235" s="41"/>
      <c r="G235" s="43"/>
      <c r="H235" s="44" t="s">
        <v>194</v>
      </c>
      <c r="I235" s="45">
        <v>5000</v>
      </c>
      <c r="J235" s="45">
        <v>0</v>
      </c>
      <c r="K235" s="45">
        <v>0</v>
      </c>
      <c r="L235" s="45">
        <f t="shared" si="118"/>
        <v>5000</v>
      </c>
      <c r="M235" s="45">
        <f t="shared" si="119"/>
        <v>6250</v>
      </c>
      <c r="N235" s="45">
        <f>L235</f>
        <v>5000</v>
      </c>
      <c r="O235" s="46"/>
    </row>
    <row r="236" spans="1:15" ht="39" customHeight="1" x14ac:dyDescent="0.25">
      <c r="A236" s="31" t="s">
        <v>340</v>
      </c>
      <c r="B236" s="32" t="s">
        <v>277</v>
      </c>
      <c r="C236" s="33" t="s">
        <v>12</v>
      </c>
      <c r="D236" s="33"/>
      <c r="E236" s="33"/>
      <c r="F236" s="33"/>
      <c r="G236" s="34">
        <v>323799</v>
      </c>
      <c r="H236" s="35" t="s">
        <v>235</v>
      </c>
      <c r="I236" s="36">
        <v>150000</v>
      </c>
      <c r="J236" s="36">
        <v>0</v>
      </c>
      <c r="K236" s="36">
        <v>0</v>
      </c>
      <c r="L236" s="36">
        <f>SUM(I236:K236)</f>
        <v>150000</v>
      </c>
      <c r="M236" s="36">
        <f t="shared" si="119"/>
        <v>187500</v>
      </c>
      <c r="N236" s="36">
        <f>L236</f>
        <v>150000</v>
      </c>
      <c r="O236" s="38" t="s">
        <v>13</v>
      </c>
    </row>
    <row r="237" spans="1:15" ht="28.5" customHeight="1" x14ac:dyDescent="0.25">
      <c r="A237" s="31" t="s">
        <v>341</v>
      </c>
      <c r="B237" s="32" t="s">
        <v>278</v>
      </c>
      <c r="C237" s="33" t="s">
        <v>12</v>
      </c>
      <c r="D237" s="33"/>
      <c r="E237" s="33"/>
      <c r="F237" s="33"/>
      <c r="G237" s="34">
        <v>323796</v>
      </c>
      <c r="H237" s="35" t="s">
        <v>342</v>
      </c>
      <c r="I237" s="36">
        <v>50000</v>
      </c>
      <c r="J237" s="36">
        <v>0</v>
      </c>
      <c r="K237" s="36">
        <v>11000</v>
      </c>
      <c r="L237" s="36">
        <f>SUM(I237:K237)</f>
        <v>61000</v>
      </c>
      <c r="M237" s="36">
        <f t="shared" si="119"/>
        <v>76250</v>
      </c>
      <c r="N237" s="36">
        <f>L237*1.1725</f>
        <v>71522.5</v>
      </c>
      <c r="O237" s="38" t="s">
        <v>13</v>
      </c>
    </row>
    <row r="238" spans="1:15" ht="39.75" customHeight="1" x14ac:dyDescent="0.25">
      <c r="A238" s="70" t="s">
        <v>343</v>
      </c>
      <c r="B238" s="71" t="s">
        <v>279</v>
      </c>
      <c r="C238" s="72" t="s">
        <v>14</v>
      </c>
      <c r="D238" s="72" t="s">
        <v>223</v>
      </c>
      <c r="E238" s="102" t="s">
        <v>327</v>
      </c>
      <c r="F238" s="72" t="s">
        <v>301</v>
      </c>
      <c r="G238" s="73">
        <v>32382</v>
      </c>
      <c r="H238" s="74" t="s">
        <v>195</v>
      </c>
      <c r="I238" s="75">
        <f>SUM(I239:I254)</f>
        <v>1858000</v>
      </c>
      <c r="J238" s="75">
        <v>0</v>
      </c>
      <c r="K238" s="75">
        <v>0</v>
      </c>
      <c r="L238" s="75">
        <f>SUM(L239:L254)</f>
        <v>1858000</v>
      </c>
      <c r="M238" s="75">
        <f>M239+M240+M241+M242+M243+M244+M245+M246+M247+M248+M249+M250+M251+M252+M253+M254</f>
        <v>2322500</v>
      </c>
      <c r="N238" s="75">
        <f>SUM(N239:N254)</f>
        <v>1105465</v>
      </c>
      <c r="O238" s="76" t="s">
        <v>13</v>
      </c>
    </row>
    <row r="239" spans="1:15" ht="24.95" customHeight="1" x14ac:dyDescent="0.25">
      <c r="A239" s="22"/>
      <c r="B239" s="23"/>
      <c r="C239" s="24"/>
      <c r="D239" s="24"/>
      <c r="E239" s="24"/>
      <c r="F239" s="24"/>
      <c r="G239" s="25">
        <v>32382</v>
      </c>
      <c r="H239" s="44" t="s">
        <v>196</v>
      </c>
      <c r="I239" s="45">
        <f>132000*2</f>
        <v>264000</v>
      </c>
      <c r="J239" s="45">
        <v>0</v>
      </c>
      <c r="K239" s="55">
        <v>0</v>
      </c>
      <c r="L239" s="45">
        <f t="shared" ref="L239:L254" si="120">SUM(I239:K239)</f>
        <v>264000</v>
      </c>
      <c r="M239" s="45">
        <f t="shared" ref="M239:M254" si="121">L239*1.25</f>
        <v>330000</v>
      </c>
      <c r="N239" s="45">
        <f>L239/2</f>
        <v>132000</v>
      </c>
      <c r="O239" s="28"/>
    </row>
    <row r="240" spans="1:15" ht="24.95" customHeight="1" x14ac:dyDescent="0.25">
      <c r="A240" s="22"/>
      <c r="B240" s="23"/>
      <c r="C240" s="24"/>
      <c r="D240" s="24"/>
      <c r="E240" s="24"/>
      <c r="F240" s="24"/>
      <c r="G240" s="25">
        <v>32382</v>
      </c>
      <c r="H240" s="44" t="s">
        <v>197</v>
      </c>
      <c r="I240" s="45">
        <v>300000</v>
      </c>
      <c r="J240" s="45">
        <v>0</v>
      </c>
      <c r="K240" s="55">
        <v>0</v>
      </c>
      <c r="L240" s="45">
        <f t="shared" si="120"/>
        <v>300000</v>
      </c>
      <c r="M240" s="45">
        <f t="shared" si="121"/>
        <v>375000</v>
      </c>
      <c r="N240" s="45">
        <f>M240/2</f>
        <v>187500</v>
      </c>
      <c r="O240" s="28"/>
    </row>
    <row r="241" spans="1:15" ht="24.95" customHeight="1" x14ac:dyDescent="0.25">
      <c r="A241" s="22"/>
      <c r="B241" s="23"/>
      <c r="C241" s="24"/>
      <c r="D241" s="24"/>
      <c r="E241" s="24"/>
      <c r="F241" s="24"/>
      <c r="G241" s="25">
        <v>32382</v>
      </c>
      <c r="H241" s="44" t="s">
        <v>198</v>
      </c>
      <c r="I241" s="45">
        <v>60000</v>
      </c>
      <c r="J241" s="45">
        <v>0</v>
      </c>
      <c r="K241" s="55">
        <v>0</v>
      </c>
      <c r="L241" s="45">
        <f t="shared" si="120"/>
        <v>60000</v>
      </c>
      <c r="M241" s="45">
        <f t="shared" si="121"/>
        <v>75000</v>
      </c>
      <c r="N241" s="45">
        <f>M241/2</f>
        <v>37500</v>
      </c>
      <c r="O241" s="28"/>
    </row>
    <row r="242" spans="1:15" ht="24.95" customHeight="1" x14ac:dyDescent="0.25">
      <c r="A242" s="22"/>
      <c r="B242" s="23"/>
      <c r="C242" s="24"/>
      <c r="D242" s="24"/>
      <c r="E242" s="24"/>
      <c r="F242" s="24"/>
      <c r="G242" s="25">
        <v>32382</v>
      </c>
      <c r="H242" s="44" t="s">
        <v>199</v>
      </c>
      <c r="I242" s="45">
        <f>90000*2</f>
        <v>180000</v>
      </c>
      <c r="J242" s="45">
        <v>0</v>
      </c>
      <c r="K242" s="55">
        <v>0</v>
      </c>
      <c r="L242" s="45">
        <f t="shared" si="120"/>
        <v>180000</v>
      </c>
      <c r="M242" s="45">
        <f t="shared" si="121"/>
        <v>225000</v>
      </c>
      <c r="N242" s="45">
        <f>M242/2</f>
        <v>112500</v>
      </c>
      <c r="O242" s="28"/>
    </row>
    <row r="243" spans="1:15" ht="24.95" customHeight="1" x14ac:dyDescent="0.25">
      <c r="A243" s="22"/>
      <c r="B243" s="23"/>
      <c r="C243" s="24"/>
      <c r="D243" s="24"/>
      <c r="E243" s="24"/>
      <c r="F243" s="24"/>
      <c r="G243" s="25">
        <v>32382</v>
      </c>
      <c r="H243" s="44" t="s">
        <v>200</v>
      </c>
      <c r="I243" s="45">
        <v>120000</v>
      </c>
      <c r="J243" s="45">
        <v>0</v>
      </c>
      <c r="K243" s="55">
        <v>0</v>
      </c>
      <c r="L243" s="45">
        <f t="shared" si="120"/>
        <v>120000</v>
      </c>
      <c r="M243" s="45">
        <f t="shared" si="121"/>
        <v>150000</v>
      </c>
      <c r="N243" s="45">
        <f>L243*1.1725/2</f>
        <v>70350</v>
      </c>
      <c r="O243" s="28"/>
    </row>
    <row r="244" spans="1:15" ht="24.95" customHeight="1" x14ac:dyDescent="0.25">
      <c r="A244" s="22"/>
      <c r="B244" s="23"/>
      <c r="C244" s="24"/>
      <c r="D244" s="24"/>
      <c r="E244" s="24"/>
      <c r="F244" s="24"/>
      <c r="G244" s="25">
        <v>32382</v>
      </c>
      <c r="H244" s="44" t="s">
        <v>201</v>
      </c>
      <c r="I244" s="45">
        <v>100000</v>
      </c>
      <c r="J244" s="45">
        <v>0</v>
      </c>
      <c r="K244" s="55">
        <v>0</v>
      </c>
      <c r="L244" s="45">
        <f t="shared" si="120"/>
        <v>100000</v>
      </c>
      <c r="M244" s="45">
        <f t="shared" si="121"/>
        <v>125000</v>
      </c>
      <c r="N244" s="45">
        <f>M244/2</f>
        <v>62500</v>
      </c>
      <c r="O244" s="28"/>
    </row>
    <row r="245" spans="1:15" ht="24.95" customHeight="1" x14ac:dyDescent="0.25">
      <c r="A245" s="22"/>
      <c r="B245" s="23"/>
      <c r="C245" s="24"/>
      <c r="D245" s="24"/>
      <c r="E245" s="24"/>
      <c r="F245" s="24"/>
      <c r="G245" s="25">
        <v>32382</v>
      </c>
      <c r="H245" s="44" t="s">
        <v>202</v>
      </c>
      <c r="I245" s="45">
        <v>80000</v>
      </c>
      <c r="J245" s="45">
        <v>0</v>
      </c>
      <c r="K245" s="55">
        <v>0</v>
      </c>
      <c r="L245" s="45">
        <f t="shared" si="120"/>
        <v>80000</v>
      </c>
      <c r="M245" s="45">
        <f t="shared" si="121"/>
        <v>100000</v>
      </c>
      <c r="N245" s="45">
        <f>L245*1.1725/2</f>
        <v>46900.000000000007</v>
      </c>
      <c r="O245" s="28"/>
    </row>
    <row r="246" spans="1:15" ht="24.95" customHeight="1" x14ac:dyDescent="0.25">
      <c r="A246" s="22"/>
      <c r="B246" s="23"/>
      <c r="C246" s="24"/>
      <c r="D246" s="24"/>
      <c r="E246" s="24"/>
      <c r="F246" s="24"/>
      <c r="G246" s="25">
        <v>32382</v>
      </c>
      <c r="H246" s="44" t="s">
        <v>203</v>
      </c>
      <c r="I246" s="45">
        <v>100000</v>
      </c>
      <c r="J246" s="45">
        <v>0</v>
      </c>
      <c r="K246" s="55">
        <v>0</v>
      </c>
      <c r="L246" s="45">
        <f t="shared" si="120"/>
        <v>100000</v>
      </c>
      <c r="M246" s="45">
        <f t="shared" si="121"/>
        <v>125000</v>
      </c>
      <c r="N246" s="45">
        <f>L246*1.1725/2</f>
        <v>58625.000000000007</v>
      </c>
      <c r="O246" s="28"/>
    </row>
    <row r="247" spans="1:15" ht="24.95" customHeight="1" x14ac:dyDescent="0.25">
      <c r="A247" s="22"/>
      <c r="B247" s="23"/>
      <c r="C247" s="24"/>
      <c r="D247" s="24"/>
      <c r="E247" s="24"/>
      <c r="F247" s="24"/>
      <c r="G247" s="25">
        <v>32382</v>
      </c>
      <c r="H247" s="44" t="s">
        <v>204</v>
      </c>
      <c r="I247" s="45">
        <f>125000*2</f>
        <v>250000</v>
      </c>
      <c r="J247" s="45">
        <v>0</v>
      </c>
      <c r="K247" s="55">
        <v>0</v>
      </c>
      <c r="L247" s="45">
        <f t="shared" si="120"/>
        <v>250000</v>
      </c>
      <c r="M247" s="45">
        <f t="shared" si="121"/>
        <v>312500</v>
      </c>
      <c r="N247" s="45">
        <f>M247/2</f>
        <v>156250</v>
      </c>
      <c r="O247" s="28"/>
    </row>
    <row r="248" spans="1:15" ht="24.95" customHeight="1" x14ac:dyDescent="0.25">
      <c r="A248" s="22"/>
      <c r="B248" s="23"/>
      <c r="C248" s="24"/>
      <c r="D248" s="24"/>
      <c r="E248" s="24"/>
      <c r="F248" s="24"/>
      <c r="G248" s="25">
        <v>32382</v>
      </c>
      <c r="H248" s="44" t="s">
        <v>205</v>
      </c>
      <c r="I248" s="45">
        <f>53000*2</f>
        <v>106000</v>
      </c>
      <c r="J248" s="45">
        <v>0</v>
      </c>
      <c r="K248" s="55">
        <v>0</v>
      </c>
      <c r="L248" s="45">
        <f t="shared" si="120"/>
        <v>106000</v>
      </c>
      <c r="M248" s="45">
        <f t="shared" si="121"/>
        <v>132500</v>
      </c>
      <c r="N248" s="45">
        <f>L248*1.1725/2</f>
        <v>62142.500000000007</v>
      </c>
      <c r="O248" s="28"/>
    </row>
    <row r="249" spans="1:15" ht="24.95" customHeight="1" x14ac:dyDescent="0.25">
      <c r="A249" s="22"/>
      <c r="B249" s="23"/>
      <c r="C249" s="24"/>
      <c r="D249" s="24"/>
      <c r="E249" s="24"/>
      <c r="F249" s="24"/>
      <c r="G249" s="25">
        <v>32382</v>
      </c>
      <c r="H249" s="44" t="s">
        <v>206</v>
      </c>
      <c r="I249" s="45">
        <f>18000*2</f>
        <v>36000</v>
      </c>
      <c r="J249" s="45">
        <v>0</v>
      </c>
      <c r="K249" s="55">
        <v>0</v>
      </c>
      <c r="L249" s="45">
        <f t="shared" si="120"/>
        <v>36000</v>
      </c>
      <c r="M249" s="45">
        <f t="shared" si="121"/>
        <v>45000</v>
      </c>
      <c r="N249" s="45">
        <f>M249/2</f>
        <v>22500</v>
      </c>
      <c r="O249" s="28"/>
    </row>
    <row r="250" spans="1:15" ht="24.95" customHeight="1" x14ac:dyDescent="0.25">
      <c r="A250" s="22"/>
      <c r="B250" s="23"/>
      <c r="C250" s="24"/>
      <c r="D250" s="24"/>
      <c r="E250" s="24"/>
      <c r="F250" s="24"/>
      <c r="G250" s="25">
        <v>32382</v>
      </c>
      <c r="H250" s="44" t="s">
        <v>207</v>
      </c>
      <c r="I250" s="45">
        <v>36000</v>
      </c>
      <c r="J250" s="45">
        <v>0</v>
      </c>
      <c r="K250" s="55">
        <v>0</v>
      </c>
      <c r="L250" s="45">
        <f t="shared" si="120"/>
        <v>36000</v>
      </c>
      <c r="M250" s="45">
        <f t="shared" si="121"/>
        <v>45000</v>
      </c>
      <c r="N250" s="45">
        <f>L250*1.1725/2</f>
        <v>21105</v>
      </c>
      <c r="O250" s="28"/>
    </row>
    <row r="251" spans="1:15" ht="24.95" customHeight="1" x14ac:dyDescent="0.25">
      <c r="A251" s="22"/>
      <c r="B251" s="23"/>
      <c r="C251" s="24"/>
      <c r="D251" s="24"/>
      <c r="E251" s="24"/>
      <c r="F251" s="24"/>
      <c r="G251" s="25">
        <v>32382</v>
      </c>
      <c r="H251" s="44" t="s">
        <v>208</v>
      </c>
      <c r="I251" s="45">
        <v>36000</v>
      </c>
      <c r="J251" s="45">
        <v>0</v>
      </c>
      <c r="K251" s="55">
        <v>0</v>
      </c>
      <c r="L251" s="45">
        <f t="shared" si="120"/>
        <v>36000</v>
      </c>
      <c r="M251" s="45">
        <f t="shared" si="121"/>
        <v>45000</v>
      </c>
      <c r="N251" s="45">
        <f>L251*1.1725/2</f>
        <v>21105</v>
      </c>
      <c r="O251" s="28"/>
    </row>
    <row r="252" spans="1:15" ht="24.95" customHeight="1" x14ac:dyDescent="0.25">
      <c r="A252" s="22"/>
      <c r="B252" s="23"/>
      <c r="C252" s="24"/>
      <c r="D252" s="24"/>
      <c r="E252" s="24"/>
      <c r="F252" s="24"/>
      <c r="G252" s="25">
        <v>32382</v>
      </c>
      <c r="H252" s="44" t="s">
        <v>209</v>
      </c>
      <c r="I252" s="45">
        <v>80000</v>
      </c>
      <c r="J252" s="45">
        <v>0</v>
      </c>
      <c r="K252" s="55">
        <v>0</v>
      </c>
      <c r="L252" s="45">
        <f t="shared" si="120"/>
        <v>80000</v>
      </c>
      <c r="M252" s="45">
        <f t="shared" si="121"/>
        <v>100000</v>
      </c>
      <c r="N252" s="45">
        <f>M252/2</f>
        <v>50000</v>
      </c>
      <c r="O252" s="28"/>
    </row>
    <row r="253" spans="1:15" ht="24.95" customHeight="1" x14ac:dyDescent="0.25">
      <c r="A253" s="22"/>
      <c r="B253" s="23"/>
      <c r="C253" s="24"/>
      <c r="D253" s="24"/>
      <c r="E253" s="24"/>
      <c r="F253" s="24"/>
      <c r="G253" s="25">
        <v>32382</v>
      </c>
      <c r="H253" s="44" t="s">
        <v>228</v>
      </c>
      <c r="I253" s="45">
        <v>70000</v>
      </c>
      <c r="J253" s="45">
        <v>0</v>
      </c>
      <c r="K253" s="55">
        <v>0</v>
      </c>
      <c r="L253" s="45">
        <f t="shared" si="120"/>
        <v>70000</v>
      </c>
      <c r="M253" s="45">
        <f t="shared" si="121"/>
        <v>87500</v>
      </c>
      <c r="N253" s="45">
        <f t="shared" ref="N253:N254" si="122">L253*1.1725/2</f>
        <v>41037.5</v>
      </c>
      <c r="O253" s="28"/>
    </row>
    <row r="254" spans="1:15" ht="24.95" customHeight="1" x14ac:dyDescent="0.25">
      <c r="A254" s="22"/>
      <c r="B254" s="23"/>
      <c r="C254" s="24"/>
      <c r="D254" s="24"/>
      <c r="E254" s="24"/>
      <c r="F254" s="24"/>
      <c r="G254" s="25">
        <v>32382</v>
      </c>
      <c r="H254" s="44" t="s">
        <v>280</v>
      </c>
      <c r="I254" s="45">
        <v>40000</v>
      </c>
      <c r="J254" s="45">
        <v>0</v>
      </c>
      <c r="K254" s="55">
        <v>0</v>
      </c>
      <c r="L254" s="45">
        <f t="shared" si="120"/>
        <v>40000</v>
      </c>
      <c r="M254" s="45">
        <f t="shared" si="121"/>
        <v>50000</v>
      </c>
      <c r="N254" s="45">
        <f t="shared" si="122"/>
        <v>23450.000000000004</v>
      </c>
      <c r="O254" s="28"/>
    </row>
    <row r="255" spans="1:15" ht="33" customHeight="1" x14ac:dyDescent="0.25">
      <c r="A255" s="70"/>
      <c r="B255" s="71" t="s">
        <v>281</v>
      </c>
      <c r="C255" s="72" t="s">
        <v>14</v>
      </c>
      <c r="D255" s="72" t="s">
        <v>223</v>
      </c>
      <c r="E255" s="102"/>
      <c r="F255" s="72" t="s">
        <v>20</v>
      </c>
      <c r="G255" s="73">
        <v>32389</v>
      </c>
      <c r="H255" s="74" t="s">
        <v>210</v>
      </c>
      <c r="I255" s="75">
        <f>350000*2</f>
        <v>700000</v>
      </c>
      <c r="J255" s="75">
        <v>0</v>
      </c>
      <c r="K255" s="75">
        <v>0</v>
      </c>
      <c r="L255" s="75">
        <v>700000</v>
      </c>
      <c r="M255" s="75">
        <f t="shared" ref="M255" si="123">I255*1.25</f>
        <v>875000</v>
      </c>
      <c r="N255" s="75">
        <f>L255*1.1725/2</f>
        <v>410375.00000000006</v>
      </c>
      <c r="O255" s="76"/>
    </row>
    <row r="256" spans="1:15" ht="33" customHeight="1" x14ac:dyDescent="0.25">
      <c r="A256" s="31" t="s">
        <v>310</v>
      </c>
      <c r="B256" s="32" t="s">
        <v>282</v>
      </c>
      <c r="C256" s="33" t="s">
        <v>14</v>
      </c>
      <c r="D256" s="33" t="s">
        <v>15</v>
      </c>
      <c r="E256" s="63" t="s">
        <v>252</v>
      </c>
      <c r="F256" s="33" t="s">
        <v>16</v>
      </c>
      <c r="G256" s="34">
        <v>32391</v>
      </c>
      <c r="H256" s="35" t="s">
        <v>283</v>
      </c>
      <c r="I256" s="36">
        <f>SUM(I257:I259)</f>
        <v>280000</v>
      </c>
      <c r="J256" s="36">
        <f t="shared" ref="J256:N256" si="124">SUM(J257:J259)</f>
        <v>-85000</v>
      </c>
      <c r="K256" s="36">
        <f t="shared" si="124"/>
        <v>0</v>
      </c>
      <c r="L256" s="36">
        <f t="shared" si="124"/>
        <v>195000</v>
      </c>
      <c r="M256" s="36">
        <f t="shared" si="124"/>
        <v>243750</v>
      </c>
      <c r="N256" s="36">
        <f t="shared" si="124"/>
        <v>228637.5</v>
      </c>
      <c r="O256" s="38" t="s">
        <v>13</v>
      </c>
    </row>
    <row r="257" spans="1:15" ht="24.95" customHeight="1" x14ac:dyDescent="0.25">
      <c r="A257" s="22"/>
      <c r="B257" s="23"/>
      <c r="C257" s="24"/>
      <c r="D257" s="24"/>
      <c r="E257" s="24"/>
      <c r="F257" s="24"/>
      <c r="G257" s="25">
        <v>323910</v>
      </c>
      <c r="H257" s="44" t="s">
        <v>211</v>
      </c>
      <c r="I257" s="45">
        <v>70000</v>
      </c>
      <c r="J257" s="45">
        <v>0</v>
      </c>
      <c r="K257" s="45">
        <v>10000</v>
      </c>
      <c r="L257" s="45">
        <f t="shared" ref="L257:L259" si="125">SUM(I257:K257)</f>
        <v>80000</v>
      </c>
      <c r="M257" s="45">
        <f t="shared" ref="M257:M259" si="126">L257*1.25</f>
        <v>100000</v>
      </c>
      <c r="N257" s="45">
        <f>L257*1.1725</f>
        <v>93800.000000000015</v>
      </c>
      <c r="O257" s="28"/>
    </row>
    <row r="258" spans="1:15" ht="24.95" customHeight="1" x14ac:dyDescent="0.25">
      <c r="A258" s="22"/>
      <c r="B258" s="23"/>
      <c r="C258" s="24"/>
      <c r="D258" s="24"/>
      <c r="E258" s="24"/>
      <c r="F258" s="24"/>
      <c r="G258" s="25">
        <v>323910</v>
      </c>
      <c r="H258" s="44" t="s">
        <v>295</v>
      </c>
      <c r="I258" s="45">
        <v>70000</v>
      </c>
      <c r="J258" s="45">
        <v>-70000</v>
      </c>
      <c r="K258" s="45">
        <v>0</v>
      </c>
      <c r="L258" s="45">
        <f t="shared" si="125"/>
        <v>0</v>
      </c>
      <c r="M258" s="45">
        <f t="shared" si="126"/>
        <v>0</v>
      </c>
      <c r="N258" s="45">
        <f t="shared" ref="N258" si="127">L258*1.17</f>
        <v>0</v>
      </c>
      <c r="O258" s="28"/>
    </row>
    <row r="259" spans="1:15" ht="24.95" customHeight="1" x14ac:dyDescent="0.25">
      <c r="A259" s="22"/>
      <c r="B259" s="23"/>
      <c r="C259" s="24"/>
      <c r="D259" s="24"/>
      <c r="E259" s="24"/>
      <c r="F259" s="24"/>
      <c r="G259" s="25">
        <v>323911</v>
      </c>
      <c r="H259" s="44" t="s">
        <v>296</v>
      </c>
      <c r="I259" s="45">
        <v>140000</v>
      </c>
      <c r="J259" s="45">
        <v>-15000</v>
      </c>
      <c r="K259" s="45">
        <v>-10000</v>
      </c>
      <c r="L259" s="45">
        <f t="shared" si="125"/>
        <v>115000</v>
      </c>
      <c r="M259" s="45">
        <f t="shared" si="126"/>
        <v>143750</v>
      </c>
      <c r="N259" s="45">
        <f>L259*1.1725</f>
        <v>134837.5</v>
      </c>
      <c r="O259" s="28"/>
    </row>
    <row r="260" spans="1:15" ht="24.95" customHeight="1" x14ac:dyDescent="0.25">
      <c r="A260" s="31"/>
      <c r="B260" s="32"/>
      <c r="C260" s="33"/>
      <c r="D260" s="33"/>
      <c r="E260" s="33"/>
      <c r="F260" s="33"/>
      <c r="G260" s="34">
        <v>32395</v>
      </c>
      <c r="H260" s="35" t="s">
        <v>212</v>
      </c>
      <c r="I260" s="36">
        <f>SUM(I261:I262)</f>
        <v>1225000</v>
      </c>
      <c r="J260" s="36">
        <f t="shared" ref="J260:N260" si="128">SUM(J261:J262)</f>
        <v>0</v>
      </c>
      <c r="K260" s="36">
        <f t="shared" si="128"/>
        <v>850000</v>
      </c>
      <c r="L260" s="36">
        <f t="shared" si="128"/>
        <v>2075000</v>
      </c>
      <c r="M260" s="36">
        <f t="shared" si="128"/>
        <v>2593750</v>
      </c>
      <c r="N260" s="36">
        <f t="shared" si="128"/>
        <v>1260437.5</v>
      </c>
      <c r="O260" s="38"/>
    </row>
    <row r="261" spans="1:15" ht="31.5" customHeight="1" x14ac:dyDescent="0.25">
      <c r="A261" s="39" t="s">
        <v>353</v>
      </c>
      <c r="B261" s="40" t="s">
        <v>284</v>
      </c>
      <c r="C261" s="41" t="s">
        <v>14</v>
      </c>
      <c r="D261" s="41" t="s">
        <v>223</v>
      </c>
      <c r="E261" s="41" t="s">
        <v>246</v>
      </c>
      <c r="F261" s="41" t="s">
        <v>20</v>
      </c>
      <c r="G261" s="43"/>
      <c r="H261" s="44" t="s">
        <v>367</v>
      </c>
      <c r="I261" s="45">
        <f>575000*2</f>
        <v>1150000</v>
      </c>
      <c r="J261" s="45">
        <v>0</v>
      </c>
      <c r="K261" s="45">
        <v>850000</v>
      </c>
      <c r="L261" s="45">
        <f t="shared" ref="L261:L262" si="129">SUM(I261:K261)</f>
        <v>2000000</v>
      </c>
      <c r="M261" s="45">
        <f t="shared" ref="M261:M263" si="130">L261*1.25</f>
        <v>2500000</v>
      </c>
      <c r="N261" s="45">
        <f>L261*1.1725/2</f>
        <v>1172500</v>
      </c>
      <c r="O261" s="46" t="s">
        <v>13</v>
      </c>
    </row>
    <row r="262" spans="1:15" ht="27" customHeight="1" x14ac:dyDescent="0.25">
      <c r="A262" s="39" t="s">
        <v>354</v>
      </c>
      <c r="B262" s="40" t="s">
        <v>285</v>
      </c>
      <c r="C262" s="41" t="s">
        <v>12</v>
      </c>
      <c r="D262" s="41"/>
      <c r="E262" s="41"/>
      <c r="F262" s="41"/>
      <c r="G262" s="43"/>
      <c r="H262" s="44" t="s">
        <v>213</v>
      </c>
      <c r="I262" s="45">
        <v>75000</v>
      </c>
      <c r="J262" s="45">
        <v>0</v>
      </c>
      <c r="K262" s="45">
        <v>0</v>
      </c>
      <c r="L262" s="45">
        <f t="shared" si="129"/>
        <v>75000</v>
      </c>
      <c r="M262" s="45">
        <f t="shared" si="130"/>
        <v>93750</v>
      </c>
      <c r="N262" s="45">
        <f>L262*1.1725</f>
        <v>87937.500000000015</v>
      </c>
      <c r="O262" s="46" t="s">
        <v>13</v>
      </c>
    </row>
    <row r="263" spans="1:15" ht="60" x14ac:dyDescent="0.25">
      <c r="A263" s="31" t="s">
        <v>366</v>
      </c>
      <c r="B263" s="32" t="s">
        <v>286</v>
      </c>
      <c r="C263" s="33" t="s">
        <v>190</v>
      </c>
      <c r="D263" s="33" t="s">
        <v>15</v>
      </c>
      <c r="E263" s="63" t="s">
        <v>371</v>
      </c>
      <c r="F263" s="33" t="s">
        <v>16</v>
      </c>
      <c r="G263" s="34">
        <v>32396</v>
      </c>
      <c r="H263" s="35" t="s">
        <v>214</v>
      </c>
      <c r="I263" s="36">
        <v>350000</v>
      </c>
      <c r="J263" s="36">
        <v>0</v>
      </c>
      <c r="K263" s="36">
        <v>0</v>
      </c>
      <c r="L263" s="36">
        <f>SUM(I263:K263)</f>
        <v>350000</v>
      </c>
      <c r="M263" s="36">
        <f t="shared" si="130"/>
        <v>437500</v>
      </c>
      <c r="N263" s="36">
        <f>L263*1.1725</f>
        <v>410375.00000000006</v>
      </c>
      <c r="O263" s="38" t="s">
        <v>13</v>
      </c>
    </row>
    <row r="264" spans="1:15" ht="24.95" customHeight="1" x14ac:dyDescent="0.25">
      <c r="A264" s="31"/>
      <c r="B264" s="32"/>
      <c r="C264" s="33"/>
      <c r="D264" s="33"/>
      <c r="E264" s="33"/>
      <c r="F264" s="33"/>
      <c r="G264" s="34">
        <v>32399</v>
      </c>
      <c r="H264" s="35" t="s">
        <v>215</v>
      </c>
      <c r="I264" s="36">
        <f>SUM(I265:I266)</f>
        <v>80000</v>
      </c>
      <c r="J264" s="36">
        <f t="shared" ref="J264:M264" si="131">SUM(J265:J266)</f>
        <v>0</v>
      </c>
      <c r="K264" s="36">
        <f t="shared" si="131"/>
        <v>0</v>
      </c>
      <c r="L264" s="36">
        <f t="shared" si="131"/>
        <v>80000</v>
      </c>
      <c r="M264" s="36">
        <f t="shared" si="131"/>
        <v>100000</v>
      </c>
      <c r="N264" s="36">
        <f>SUM(N265:N266)</f>
        <v>93800</v>
      </c>
      <c r="O264" s="38"/>
    </row>
    <row r="265" spans="1:15" ht="26.25" customHeight="1" x14ac:dyDescent="0.25">
      <c r="A265" s="39" t="s">
        <v>386</v>
      </c>
      <c r="B265" s="40" t="s">
        <v>240</v>
      </c>
      <c r="C265" s="41" t="s">
        <v>12</v>
      </c>
      <c r="D265" s="41"/>
      <c r="E265" s="41"/>
      <c r="F265" s="41"/>
      <c r="G265" s="43">
        <v>323995</v>
      </c>
      <c r="H265" s="44" t="s">
        <v>216</v>
      </c>
      <c r="I265" s="45">
        <v>50000</v>
      </c>
      <c r="J265" s="45">
        <v>0</v>
      </c>
      <c r="K265" s="45">
        <v>0</v>
      </c>
      <c r="L265" s="45">
        <f t="shared" ref="L265:L266" si="132">SUM(I265:K265)</f>
        <v>50000</v>
      </c>
      <c r="M265" s="45">
        <f t="shared" ref="M265:M267" si="133">L265*1.25</f>
        <v>62500</v>
      </c>
      <c r="N265" s="45">
        <f>L265*1.1725</f>
        <v>58625.000000000007</v>
      </c>
      <c r="O265" s="46" t="s">
        <v>13</v>
      </c>
    </row>
    <row r="266" spans="1:15" ht="24.95" customHeight="1" x14ac:dyDescent="0.25">
      <c r="A266" s="39"/>
      <c r="B266" s="40" t="s">
        <v>289</v>
      </c>
      <c r="C266" s="41" t="s">
        <v>12</v>
      </c>
      <c r="D266" s="41"/>
      <c r="E266" s="41"/>
      <c r="F266" s="41"/>
      <c r="G266" s="43">
        <v>32399</v>
      </c>
      <c r="H266" s="44" t="s">
        <v>217</v>
      </c>
      <c r="I266" s="45">
        <v>30000</v>
      </c>
      <c r="J266" s="45">
        <v>0</v>
      </c>
      <c r="K266" s="45">
        <v>0</v>
      </c>
      <c r="L266" s="45">
        <f t="shared" si="132"/>
        <v>30000</v>
      </c>
      <c r="M266" s="45">
        <f t="shared" si="133"/>
        <v>37500</v>
      </c>
      <c r="N266" s="45">
        <f>L266*1.1725</f>
        <v>35175</v>
      </c>
      <c r="O266" s="46"/>
    </row>
    <row r="267" spans="1:15" ht="24.95" customHeight="1" x14ac:dyDescent="0.25">
      <c r="A267" s="31"/>
      <c r="B267" s="32" t="s">
        <v>288</v>
      </c>
      <c r="C267" s="33" t="s">
        <v>14</v>
      </c>
      <c r="D267" s="33" t="s">
        <v>223</v>
      </c>
      <c r="E267" s="33"/>
      <c r="F267" s="33" t="s">
        <v>20</v>
      </c>
      <c r="G267" s="34">
        <v>3292</v>
      </c>
      <c r="H267" s="35" t="s">
        <v>218</v>
      </c>
      <c r="I267" s="36">
        <f>650000*2</f>
        <v>1300000</v>
      </c>
      <c r="J267" s="36">
        <v>0</v>
      </c>
      <c r="K267" s="36">
        <v>0</v>
      </c>
      <c r="L267" s="36">
        <f>SUM(I267:K267)</f>
        <v>1300000</v>
      </c>
      <c r="M267" s="36">
        <f t="shared" si="133"/>
        <v>1625000</v>
      </c>
      <c r="N267" s="36">
        <f>I267/2</f>
        <v>650000</v>
      </c>
      <c r="O267" s="38"/>
    </row>
    <row r="268" spans="1:15" ht="24.95" customHeight="1" x14ac:dyDescent="0.25">
      <c r="A268" s="31"/>
      <c r="B268" s="32"/>
      <c r="C268" s="33"/>
      <c r="D268" s="33"/>
      <c r="E268" s="33"/>
      <c r="F268" s="33"/>
      <c r="G268" s="34">
        <v>3293</v>
      </c>
      <c r="H268" s="35" t="s">
        <v>219</v>
      </c>
      <c r="I268" s="36">
        <f>SUM(I269:I270)</f>
        <v>250000</v>
      </c>
      <c r="J268" s="36">
        <f t="shared" ref="J268:M268" si="134">SUM(J269:J270)</f>
        <v>0</v>
      </c>
      <c r="K268" s="36">
        <f t="shared" si="134"/>
        <v>-100000</v>
      </c>
      <c r="L268" s="36">
        <f t="shared" si="134"/>
        <v>150000</v>
      </c>
      <c r="M268" s="36">
        <f t="shared" si="134"/>
        <v>187500</v>
      </c>
      <c r="N268" s="36">
        <f>SUM(N269:N270)</f>
        <v>175875.00000000003</v>
      </c>
      <c r="O268" s="38"/>
    </row>
    <row r="269" spans="1:15" s="4" customFormat="1" ht="24.95" customHeight="1" x14ac:dyDescent="0.25">
      <c r="A269" s="39"/>
      <c r="B269" s="40"/>
      <c r="C269" s="41"/>
      <c r="D269" s="41"/>
      <c r="E269" s="41"/>
      <c r="F269" s="41"/>
      <c r="G269" s="43">
        <v>32931</v>
      </c>
      <c r="H269" s="44" t="s">
        <v>219</v>
      </c>
      <c r="I269" s="45">
        <v>150000</v>
      </c>
      <c r="J269" s="45">
        <v>0</v>
      </c>
      <c r="K269" s="45">
        <v>0</v>
      </c>
      <c r="L269" s="45">
        <f t="shared" ref="L269:L270" si="135">SUM(I269:K269)</f>
        <v>150000</v>
      </c>
      <c r="M269" s="45">
        <f t="shared" ref="M269:M270" si="136">L269*1.25</f>
        <v>187500</v>
      </c>
      <c r="N269" s="45">
        <f>L269*1.1725</f>
        <v>175875.00000000003</v>
      </c>
      <c r="O269" s="46"/>
    </row>
    <row r="270" spans="1:15" s="4" customFormat="1" ht="28.5" customHeight="1" thickBot="1" x14ac:dyDescent="0.3">
      <c r="A270" s="103"/>
      <c r="B270" s="104" t="s">
        <v>287</v>
      </c>
      <c r="C270" s="105" t="s">
        <v>12</v>
      </c>
      <c r="D270" s="105"/>
      <c r="E270" s="105"/>
      <c r="F270" s="105"/>
      <c r="G270" s="106">
        <v>32931</v>
      </c>
      <c r="H270" s="107" t="s">
        <v>220</v>
      </c>
      <c r="I270" s="108">
        <v>100000</v>
      </c>
      <c r="J270" s="108">
        <v>0</v>
      </c>
      <c r="K270" s="108">
        <v>-100000</v>
      </c>
      <c r="L270" s="108">
        <f t="shared" si="135"/>
        <v>0</v>
      </c>
      <c r="M270" s="108">
        <f t="shared" si="136"/>
        <v>0</v>
      </c>
      <c r="N270" s="108">
        <v>0</v>
      </c>
      <c r="O270" s="109"/>
    </row>
    <row r="271" spans="1:15" ht="24.95" customHeight="1" thickTop="1" thickBot="1" x14ac:dyDescent="0.3">
      <c r="A271" s="110"/>
      <c r="B271" s="111"/>
      <c r="C271" s="112"/>
      <c r="D271" s="112"/>
      <c r="E271" s="112"/>
      <c r="F271" s="112"/>
      <c r="G271" s="113"/>
      <c r="H271" s="114" t="s">
        <v>221</v>
      </c>
      <c r="I271" s="115">
        <f>I268+I267+I264+I263+I260+I256+I255+I238+I232+I227+I222+I215+I212+I161+I156+I153+I150+I148+I133+I128+I126+I12+I9+I8+I5</f>
        <v>27926000</v>
      </c>
      <c r="J271" s="115">
        <f t="shared" ref="J271:L271" si="137">J268+J267+J264+J263+J260+J256+J255+J238+J232+J227+J222+J215+J212+J161+J156+J153+J150+J148+J133+J128+J126+J12+J9+J8+J5</f>
        <v>56000</v>
      </c>
      <c r="K271" s="115">
        <f t="shared" si="137"/>
        <v>969000</v>
      </c>
      <c r="L271" s="115">
        <f t="shared" si="137"/>
        <v>28951000</v>
      </c>
      <c r="M271" s="115">
        <f>M268+M267+M264+M263+M260+M256+M255+M238+M232+M227+M222+M215+M212+M161+M156+M153+M150+M148+M133+M128+M126+M12+M9+M8+M5</f>
        <v>36188750</v>
      </c>
      <c r="N271" s="115">
        <f>N268+N267+N264+N263+N260+N256+N255+N238+N232+N227+N222+N215+N212+N161+N156+N153+N150+N148+N133+N128+N126+N12+N9+N8+N5</f>
        <v>26951776.25</v>
      </c>
      <c r="O271" s="116"/>
    </row>
    <row r="272" spans="1:15" ht="24.95" customHeight="1" thickTop="1" x14ac:dyDescent="0.25">
      <c r="A272" s="6"/>
      <c r="B272" s="7"/>
      <c r="C272" s="8"/>
      <c r="D272" s="8"/>
      <c r="E272" s="8"/>
      <c r="F272" s="8"/>
      <c r="G272" s="6"/>
      <c r="H272" s="6"/>
      <c r="I272" s="6"/>
      <c r="J272" s="6"/>
      <c r="K272" s="6"/>
      <c r="L272" s="6"/>
      <c r="M272" s="6"/>
      <c r="N272" s="9"/>
      <c r="O272" s="8"/>
    </row>
    <row r="273" spans="1:15" ht="24.95" customHeight="1" x14ac:dyDescent="0.25">
      <c r="A273" s="6"/>
      <c r="B273" s="7"/>
      <c r="C273" s="8"/>
      <c r="D273" s="8"/>
      <c r="E273" s="8"/>
      <c r="F273" s="8"/>
      <c r="G273" s="6"/>
      <c r="H273" s="6"/>
      <c r="I273" s="6"/>
      <c r="J273" s="6"/>
      <c r="K273" s="6"/>
      <c r="L273" s="6"/>
      <c r="M273" s="6"/>
      <c r="N273" s="9"/>
      <c r="O273" s="8"/>
    </row>
    <row r="274" spans="1:15" ht="24.95" customHeight="1" x14ac:dyDescent="0.25">
      <c r="A274" s="6"/>
      <c r="B274" s="7"/>
      <c r="C274" s="8"/>
      <c r="D274" s="8"/>
      <c r="E274" s="8"/>
      <c r="F274" s="8"/>
      <c r="G274" s="6"/>
      <c r="H274" s="6"/>
      <c r="I274" s="6"/>
      <c r="J274" s="6"/>
      <c r="K274" s="6"/>
      <c r="L274" s="6"/>
      <c r="M274" s="6"/>
      <c r="N274" s="9"/>
      <c r="O274" s="8"/>
    </row>
    <row r="275" spans="1:15" ht="24.95" customHeight="1" x14ac:dyDescent="0.25">
      <c r="A275" s="6"/>
      <c r="B275" s="7"/>
      <c r="C275" s="8"/>
      <c r="D275" s="8"/>
      <c r="E275" s="8"/>
      <c r="F275" s="8"/>
      <c r="G275" s="6"/>
      <c r="H275" s="6"/>
      <c r="I275" s="6"/>
      <c r="J275" s="6"/>
      <c r="K275" s="6"/>
      <c r="L275" s="6"/>
      <c r="M275" s="9"/>
      <c r="N275" s="9"/>
      <c r="O275" s="8"/>
    </row>
    <row r="276" spans="1:15" ht="24.95" customHeight="1" x14ac:dyDescent="0.25">
      <c r="A276" s="6"/>
      <c r="B276" s="7"/>
      <c r="C276" s="8"/>
      <c r="D276" s="8"/>
      <c r="E276" s="8"/>
      <c r="F276" s="8"/>
      <c r="G276" s="6"/>
      <c r="H276" s="6"/>
      <c r="I276" s="6"/>
      <c r="J276" s="6"/>
      <c r="K276" s="6"/>
      <c r="L276" s="6"/>
      <c r="M276" s="6"/>
      <c r="N276" s="9"/>
      <c r="O276" s="8"/>
    </row>
    <row r="277" spans="1:15" ht="24.95" customHeight="1" x14ac:dyDescent="0.25">
      <c r="A277" s="6"/>
      <c r="B277" s="7"/>
      <c r="C277" s="8"/>
      <c r="D277" s="8"/>
      <c r="E277" s="8"/>
      <c r="F277" s="8"/>
      <c r="G277" s="6"/>
      <c r="H277" s="6"/>
      <c r="I277" s="6"/>
      <c r="J277" s="6"/>
      <c r="K277" s="6"/>
      <c r="L277" s="6"/>
      <c r="M277" s="6"/>
      <c r="N277" s="9"/>
      <c r="O277" s="8"/>
    </row>
    <row r="278" spans="1:15" ht="24.95" customHeight="1" x14ac:dyDescent="0.25">
      <c r="A278" s="6"/>
      <c r="B278" s="7"/>
      <c r="C278" s="8"/>
      <c r="D278" s="8"/>
      <c r="E278" s="8"/>
      <c r="F278" s="8"/>
      <c r="G278" s="6"/>
      <c r="H278" s="6"/>
      <c r="I278" s="6"/>
      <c r="J278" s="6"/>
      <c r="K278" s="6"/>
      <c r="L278" s="6"/>
      <c r="M278" s="6"/>
      <c r="N278" s="9"/>
      <c r="O278" s="8"/>
    </row>
    <row r="279" spans="1:15" ht="24.95" customHeight="1" x14ac:dyDescent="0.25">
      <c r="A279" s="6"/>
      <c r="B279" s="7"/>
      <c r="C279" s="8"/>
      <c r="D279" s="8"/>
      <c r="E279" s="8"/>
      <c r="F279" s="8"/>
      <c r="G279" s="6"/>
      <c r="H279" s="6"/>
      <c r="I279" s="6"/>
      <c r="J279" s="6"/>
      <c r="K279" s="6"/>
      <c r="L279" s="6"/>
      <c r="M279" s="6"/>
      <c r="N279" s="9"/>
      <c r="O279" s="8"/>
    </row>
    <row r="280" spans="1:15" ht="24.95" customHeight="1" x14ac:dyDescent="0.25">
      <c r="A280" s="6"/>
      <c r="B280" s="7"/>
      <c r="C280" s="8"/>
      <c r="D280" s="8"/>
      <c r="E280" s="8"/>
      <c r="F280" s="8"/>
      <c r="G280" s="6"/>
      <c r="H280" s="6"/>
      <c r="I280" s="6"/>
      <c r="J280" s="6"/>
      <c r="K280" s="6"/>
      <c r="L280" s="6"/>
      <c r="M280" s="6"/>
      <c r="N280" s="9"/>
      <c r="O280" s="8"/>
    </row>
    <row r="281" spans="1:15" ht="24.95" customHeight="1" x14ac:dyDescent="0.25">
      <c r="A281" s="6"/>
      <c r="B281" s="7"/>
      <c r="C281" s="8"/>
      <c r="D281" s="8"/>
      <c r="E281" s="8"/>
      <c r="F281" s="8"/>
      <c r="G281" s="6"/>
      <c r="H281" s="6"/>
      <c r="I281" s="6"/>
      <c r="J281" s="6"/>
      <c r="K281" s="6"/>
      <c r="L281" s="6"/>
      <c r="M281" s="6"/>
      <c r="N281" s="9"/>
      <c r="O281" s="8"/>
    </row>
    <row r="282" spans="1:15" ht="24.95" customHeight="1" x14ac:dyDescent="0.25">
      <c r="A282" s="6"/>
      <c r="B282" s="7"/>
      <c r="C282" s="8"/>
      <c r="D282" s="8"/>
      <c r="E282" s="8"/>
      <c r="F282" s="8"/>
      <c r="G282" s="6"/>
      <c r="H282" s="6"/>
      <c r="I282" s="6"/>
      <c r="J282" s="6"/>
      <c r="K282" s="6"/>
      <c r="L282" s="6"/>
      <c r="M282" s="6"/>
      <c r="N282" s="9"/>
      <c r="O282" s="8"/>
    </row>
    <row r="283" spans="1:15" ht="24.95" customHeight="1" x14ac:dyDescent="0.25">
      <c r="A283" s="6"/>
      <c r="B283" s="7"/>
      <c r="C283" s="8"/>
      <c r="D283" s="8"/>
      <c r="E283" s="8"/>
      <c r="F283" s="8"/>
      <c r="G283" s="6"/>
      <c r="H283" s="6"/>
      <c r="I283" s="6"/>
      <c r="J283" s="6"/>
      <c r="K283" s="6"/>
      <c r="L283" s="6"/>
      <c r="M283" s="6"/>
      <c r="N283" s="9"/>
      <c r="O283" s="8"/>
    </row>
    <row r="284" spans="1:15" ht="24.95" customHeight="1" x14ac:dyDescent="0.25">
      <c r="A284" s="6"/>
      <c r="B284" s="7"/>
      <c r="C284" s="8"/>
      <c r="D284" s="8"/>
      <c r="E284" s="8"/>
      <c r="F284" s="8"/>
      <c r="G284" s="6"/>
      <c r="H284" s="6"/>
      <c r="I284" s="6"/>
      <c r="J284" s="6"/>
      <c r="K284" s="6"/>
      <c r="L284" s="6"/>
      <c r="M284" s="6"/>
      <c r="N284" s="9"/>
      <c r="O284" s="8"/>
    </row>
    <row r="285" spans="1:15" ht="24.95" customHeight="1" x14ac:dyDescent="0.25">
      <c r="A285" s="6"/>
      <c r="B285" s="7"/>
      <c r="C285" s="8"/>
      <c r="D285" s="8"/>
      <c r="E285" s="8"/>
      <c r="F285" s="8"/>
      <c r="G285" s="6"/>
      <c r="H285" s="6"/>
      <c r="I285" s="6"/>
      <c r="J285" s="6"/>
      <c r="K285" s="6"/>
      <c r="L285" s="6"/>
      <c r="M285" s="6"/>
      <c r="N285" s="9"/>
      <c r="O285" s="8"/>
    </row>
    <row r="286" spans="1:15" ht="24.95" customHeight="1" x14ac:dyDescent="0.25">
      <c r="A286" s="6"/>
      <c r="B286" s="7"/>
      <c r="C286" s="8"/>
      <c r="D286" s="8"/>
      <c r="E286" s="8"/>
      <c r="F286" s="8"/>
      <c r="G286" s="6"/>
      <c r="H286" s="6"/>
      <c r="I286" s="6"/>
      <c r="J286" s="6"/>
      <c r="K286" s="6"/>
      <c r="L286" s="6"/>
      <c r="M286" s="6"/>
      <c r="N286" s="9"/>
      <c r="O286" s="8"/>
    </row>
    <row r="287" spans="1:15" ht="24.95" customHeight="1" x14ac:dyDescent="0.25">
      <c r="A287" s="6"/>
      <c r="B287" s="7"/>
      <c r="C287" s="8"/>
      <c r="D287" s="8"/>
      <c r="E287" s="8"/>
      <c r="F287" s="8"/>
      <c r="G287" s="6"/>
      <c r="H287" s="6"/>
      <c r="I287" s="6"/>
      <c r="J287" s="6"/>
      <c r="K287" s="6"/>
      <c r="L287" s="6"/>
      <c r="M287" s="6"/>
      <c r="N287" s="9"/>
      <c r="O287" s="8"/>
    </row>
    <row r="288" spans="1:15" ht="24.95" customHeight="1" x14ac:dyDescent="0.25">
      <c r="A288" s="6"/>
      <c r="B288" s="7"/>
      <c r="C288" s="8"/>
      <c r="D288" s="8"/>
      <c r="E288" s="8"/>
      <c r="F288" s="8"/>
      <c r="G288" s="6"/>
      <c r="H288" s="6"/>
      <c r="I288" s="6"/>
      <c r="J288" s="6"/>
      <c r="K288" s="6"/>
      <c r="L288" s="6"/>
      <c r="M288" s="6"/>
      <c r="N288" s="9"/>
      <c r="O288" s="8"/>
    </row>
    <row r="289" spans="1:15" ht="24.95" customHeight="1" x14ac:dyDescent="0.25">
      <c r="A289" s="6"/>
      <c r="B289" s="7"/>
      <c r="C289" s="8"/>
      <c r="D289" s="8"/>
      <c r="E289" s="8"/>
      <c r="F289" s="8"/>
      <c r="G289" s="6"/>
      <c r="H289" s="6"/>
      <c r="I289" s="6"/>
      <c r="J289" s="6"/>
      <c r="K289" s="6"/>
      <c r="L289" s="6"/>
      <c r="M289" s="6"/>
      <c r="N289" s="9"/>
      <c r="O289" s="8"/>
    </row>
    <row r="290" spans="1:15" ht="24.95" customHeight="1" x14ac:dyDescent="0.25">
      <c r="A290" s="6"/>
      <c r="B290" s="7"/>
      <c r="C290" s="8"/>
      <c r="D290" s="8"/>
      <c r="E290" s="8"/>
      <c r="F290" s="8"/>
      <c r="G290" s="6"/>
      <c r="H290" s="6"/>
      <c r="I290" s="6"/>
      <c r="J290" s="6"/>
      <c r="K290" s="6"/>
      <c r="L290" s="6"/>
      <c r="M290" s="6"/>
      <c r="N290" s="9"/>
      <c r="O290" s="8"/>
    </row>
    <row r="291" spans="1:15" ht="24.95" customHeight="1" x14ac:dyDescent="0.25">
      <c r="A291" s="6"/>
      <c r="B291" s="7"/>
      <c r="C291" s="8"/>
      <c r="D291" s="8"/>
      <c r="E291" s="8"/>
      <c r="F291" s="8"/>
      <c r="G291" s="6"/>
      <c r="H291" s="6"/>
      <c r="I291" s="6"/>
      <c r="J291" s="6"/>
      <c r="K291" s="6"/>
      <c r="L291" s="6"/>
      <c r="M291" s="6"/>
      <c r="N291" s="9"/>
      <c r="O291" s="8"/>
    </row>
    <row r="292" spans="1:15" ht="24.95" customHeight="1" x14ac:dyDescent="0.25">
      <c r="A292" s="6"/>
      <c r="B292" s="7"/>
      <c r="C292" s="8"/>
      <c r="D292" s="8"/>
      <c r="E292" s="8"/>
      <c r="F292" s="8"/>
      <c r="G292" s="6"/>
      <c r="H292" s="6"/>
      <c r="I292" s="6"/>
      <c r="J292" s="6"/>
      <c r="K292" s="6"/>
      <c r="L292" s="6"/>
      <c r="M292" s="6"/>
      <c r="N292" s="9"/>
      <c r="O292" s="8"/>
    </row>
    <row r="293" spans="1:15" ht="24.95" customHeight="1" x14ac:dyDescent="0.25">
      <c r="A293" s="6"/>
      <c r="B293" s="7"/>
      <c r="C293" s="8"/>
      <c r="D293" s="8"/>
      <c r="E293" s="8"/>
      <c r="F293" s="8"/>
      <c r="G293" s="6"/>
      <c r="H293" s="6"/>
      <c r="I293" s="6"/>
      <c r="J293" s="6"/>
      <c r="K293" s="6"/>
      <c r="L293" s="6"/>
      <c r="M293" s="6"/>
      <c r="N293" s="9"/>
      <c r="O293" s="8"/>
    </row>
    <row r="294" spans="1:15" ht="24.95" customHeight="1" x14ac:dyDescent="0.25">
      <c r="A294" s="6"/>
      <c r="B294" s="7"/>
      <c r="C294" s="8"/>
      <c r="D294" s="8"/>
      <c r="E294" s="8"/>
      <c r="F294" s="8"/>
      <c r="G294" s="6"/>
      <c r="H294" s="6"/>
      <c r="I294" s="6"/>
      <c r="J294" s="6"/>
      <c r="K294" s="6"/>
      <c r="L294" s="6"/>
      <c r="M294" s="6"/>
      <c r="N294" s="9"/>
      <c r="O294" s="8"/>
    </row>
    <row r="295" spans="1:15" ht="24.95" customHeight="1" x14ac:dyDescent="0.25">
      <c r="A295" s="6"/>
    </row>
  </sheetData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 xml:space="preserve">&amp;LUpravno vijeće
17.12.2019.&amp;CPlan nabave materijala, energije i usluga za 2019. godinu - Rebalans II.&amp;R29. sjednica 
Točka 3. Dnevnog reda 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1FE388-E431-4B25-B423-3C7F04DFE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7A6461-FFB1-4BB4-B618-8F37C8932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E3553-5CC3-4EE0-B5D2-47E333C48BD7}">
  <ds:schemaRefs>
    <ds:schemaRef ds:uri="http://schemas.openxmlformats.org/package/2006/metadata/core-properties"/>
    <ds:schemaRef ds:uri="http://schemas.microsoft.com/office/infopath/2007/PartnerControls"/>
    <ds:schemaRef ds:uri="03d24e22-eef8-4b30-952a-8ab5e9aeaf1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2019 - 2. Rebalans</vt:lpstr>
      <vt:lpstr>'PLAN 2019 - 2. Rebalans'!Ispis_naslova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2019-12-12T15:26:15Z</cp:lastPrinted>
  <dcterms:created xsi:type="dcterms:W3CDTF">2015-12-14T10:40:56Z</dcterms:created>
  <dcterms:modified xsi:type="dcterms:W3CDTF">2019-12-13T10:02:14Z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